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125" windowWidth="9660" windowHeight="5445"/>
  </bookViews>
  <sheets>
    <sheet name="Index" sheetId="66" r:id="rId1"/>
    <sheet name="Table 1" sheetId="2" r:id="rId2"/>
    <sheet name="Table 2" sheetId="3" r:id="rId3"/>
    <sheet name="Table 3" sheetId="4" r:id="rId4"/>
    <sheet name="Table 4" sheetId="5" r:id="rId5"/>
    <sheet name="Table 5" sheetId="6" r:id="rId6"/>
    <sheet name="Table 6" sheetId="8" r:id="rId7"/>
    <sheet name="Table 8" sheetId="10" r:id="rId8"/>
    <sheet name="Table 9" sheetId="32" r:id="rId9"/>
    <sheet name="Table 10" sheetId="31" r:id="rId10"/>
    <sheet name="Table 11" sheetId="30" r:id="rId11"/>
    <sheet name="Table 12" sheetId="38" r:id="rId12"/>
    <sheet name="Table 13" sheetId="37" r:id="rId13"/>
    <sheet name="Table 14" sheetId="36" r:id="rId14"/>
    <sheet name="Table18" sheetId="35" r:id="rId15"/>
    <sheet name="Table 19" sheetId="54" r:id="rId16"/>
    <sheet name="Table 20" sheetId="53" r:id="rId17"/>
    <sheet name="Table 21" sheetId="52" r:id="rId18"/>
    <sheet name="Table 22" sheetId="51" r:id="rId19"/>
    <sheet name="Table 23" sheetId="50" r:id="rId20"/>
    <sheet name="Table 24" sheetId="49" r:id="rId21"/>
    <sheet name="Table 25" sheetId="48" r:id="rId22"/>
    <sheet name="Table 26" sheetId="47" r:id="rId23"/>
    <sheet name="Table 27" sheetId="46" r:id="rId24"/>
    <sheet name="Table 28" sheetId="45" r:id="rId25"/>
    <sheet name="Table 29" sheetId="44" r:id="rId26"/>
    <sheet name="Table 30" sheetId="43" r:id="rId27"/>
    <sheet name="Table 31" sheetId="42" r:id="rId28"/>
    <sheet name="Table 32" sheetId="41" r:id="rId29"/>
    <sheet name="Table 33" sheetId="40" r:id="rId30"/>
    <sheet name="Table 34" sheetId="39" r:id="rId31"/>
    <sheet name="Table 35" sheetId="34" r:id="rId32"/>
    <sheet name="Table 36" sheetId="33" r:id="rId33"/>
    <sheet name="Table 37" sheetId="62" r:id="rId34"/>
    <sheet name="Table 38" sheetId="61" r:id="rId35"/>
    <sheet name="Table 39" sheetId="60" r:id="rId36"/>
    <sheet name="Table 40" sheetId="59" r:id="rId37"/>
    <sheet name="MVA" sheetId="58" r:id="rId38"/>
    <sheet name="Alzheimers" sheetId="57" r:id="rId39"/>
    <sheet name="Septicemia" sheetId="56" r:id="rId40"/>
    <sheet name="Athero" sheetId="55" r:id="rId41"/>
    <sheet name="Table 41" sheetId="65" r:id="rId42"/>
    <sheet name="Table 42" sheetId="64" r:id="rId43"/>
    <sheet name="Table 43" sheetId="63" r:id="rId44"/>
    <sheet name="Table 44" sheetId="29" r:id="rId45"/>
  </sheets>
  <definedNames>
    <definedName name="_xlnm.Print_Area" localSheetId="1">'Table 1'!$B$1:$M$63</definedName>
    <definedName name="_xlnm.Print_Area" localSheetId="2">'Table 2'!$B$2:$L$63</definedName>
    <definedName name="_xlnm.Print_Area" localSheetId="3">'Table 3'!$B$2:$L$58</definedName>
    <definedName name="_xlnm.Print_Area" localSheetId="4">'Table 4'!$B$2:$K$55</definedName>
    <definedName name="_xlnm.Print_Area" localSheetId="5">'Table 5'!$B$1:$M$62</definedName>
    <definedName name="_xlnm.Print_Area" localSheetId="6">'Table 6'!$B$1:$M$63</definedName>
    <definedName name="_xlnm.Print_Area" localSheetId="7">'Table 8'!$B$1:$L$60</definedName>
  </definedNames>
  <calcPr calcId="145621" fullPrecision="0"/>
</workbook>
</file>

<file path=xl/calcChain.xml><?xml version="1.0" encoding="utf-8"?>
<calcChain xmlns="http://schemas.openxmlformats.org/spreadsheetml/2006/main">
  <c r="P7" i="38" l="1"/>
  <c r="O7" i="38"/>
  <c r="N7" i="38"/>
  <c r="M7" i="38"/>
  <c r="L7" i="38"/>
  <c r="K7" i="38"/>
  <c r="J7" i="38"/>
  <c r="I7" i="38"/>
  <c r="H7" i="38"/>
  <c r="G7" i="38"/>
  <c r="F7" i="38"/>
  <c r="E7" i="38"/>
  <c r="D7" i="38"/>
  <c r="C108" i="38"/>
  <c r="J94" i="38"/>
  <c r="J10" i="38"/>
  <c r="J11" i="38"/>
  <c r="J12" i="38"/>
  <c r="J13" i="38"/>
  <c r="J15" i="38"/>
  <c r="J16" i="38"/>
  <c r="J17" i="38"/>
  <c r="J18" i="38"/>
  <c r="J19" i="38"/>
  <c r="J21" i="38"/>
  <c r="J22" i="38"/>
  <c r="J23" i="38"/>
  <c r="J24" i="38"/>
  <c r="J25" i="38"/>
  <c r="J27" i="38"/>
  <c r="J28" i="38"/>
  <c r="J29" i="38"/>
  <c r="J30" i="38"/>
  <c r="J31" i="38"/>
  <c r="J33" i="38"/>
  <c r="J34" i="38"/>
  <c r="J35" i="38"/>
  <c r="J36" i="38"/>
  <c r="J37" i="38"/>
  <c r="J39" i="38"/>
  <c r="J40" i="38"/>
  <c r="J41" i="38"/>
  <c r="J42" i="38"/>
  <c r="J43" i="38"/>
  <c r="J45" i="38"/>
  <c r="J46" i="38"/>
  <c r="J47" i="38"/>
  <c r="J48" i="38"/>
  <c r="J49" i="38"/>
  <c r="J51" i="38"/>
  <c r="J52" i="38"/>
  <c r="J53" i="38"/>
  <c r="J54" i="38"/>
  <c r="J55" i="38"/>
  <c r="J57" i="38"/>
  <c r="J58" i="38"/>
  <c r="J59" i="38"/>
  <c r="J60" i="38"/>
  <c r="J61" i="38"/>
  <c r="J63" i="38"/>
  <c r="J64" i="38"/>
  <c r="J65" i="38"/>
  <c r="J66" i="38"/>
  <c r="J67" i="38"/>
  <c r="J69" i="38"/>
  <c r="J70" i="38"/>
  <c r="J71" i="38"/>
  <c r="J72" i="38"/>
  <c r="J73" i="38"/>
  <c r="J75" i="38"/>
  <c r="J76" i="38"/>
  <c r="J77" i="38"/>
  <c r="J78" i="38"/>
  <c r="J79" i="38"/>
  <c r="J81" i="38"/>
  <c r="J82" i="38"/>
  <c r="J83" i="38"/>
  <c r="J84" i="38"/>
  <c r="J85" i="38"/>
  <c r="J87" i="38"/>
  <c r="J88" i="38"/>
  <c r="J89" i="38"/>
  <c r="J90" i="38"/>
  <c r="J91" i="38"/>
  <c r="J93" i="38"/>
  <c r="J95" i="38"/>
  <c r="J96" i="38"/>
  <c r="J97" i="38"/>
  <c r="J99" i="38"/>
  <c r="J100" i="38"/>
  <c r="J101" i="38"/>
  <c r="J102" i="38"/>
  <c r="J103" i="38"/>
  <c r="J105" i="38"/>
  <c r="J106" i="38"/>
  <c r="J107" i="38"/>
  <c r="J9" i="38"/>
  <c r="C34" i="38"/>
  <c r="C35" i="38"/>
  <c r="C36" i="38"/>
  <c r="C37" i="38"/>
  <c r="C39" i="38"/>
  <c r="C40" i="38"/>
  <c r="C41" i="38"/>
  <c r="C42" i="38"/>
  <c r="C43" i="38"/>
  <c r="C45" i="38"/>
  <c r="C46" i="38"/>
  <c r="C47" i="38"/>
  <c r="C48" i="38"/>
  <c r="C49" i="38"/>
  <c r="C51" i="38"/>
  <c r="C52" i="38"/>
  <c r="C53" i="38"/>
  <c r="C54" i="38"/>
  <c r="C55" i="38"/>
  <c r="C57" i="38"/>
  <c r="C58" i="38"/>
  <c r="C59" i="38"/>
  <c r="C60" i="38"/>
  <c r="C61" i="38"/>
  <c r="C63" i="38"/>
  <c r="C64" i="38"/>
  <c r="C65" i="38"/>
  <c r="C66" i="38"/>
  <c r="C67" i="38"/>
  <c r="C69" i="38"/>
  <c r="C70" i="38"/>
  <c r="C71" i="38"/>
  <c r="C72" i="38"/>
  <c r="C73" i="38"/>
  <c r="C75" i="38"/>
  <c r="C76" i="38"/>
  <c r="C77" i="38"/>
  <c r="C78" i="38"/>
  <c r="C79" i="38"/>
  <c r="C81" i="38"/>
  <c r="C82" i="38"/>
  <c r="C83" i="38"/>
  <c r="C84" i="38"/>
  <c r="C85" i="38"/>
  <c r="C87" i="38"/>
  <c r="C88" i="38"/>
  <c r="C89" i="38"/>
  <c r="C90" i="38"/>
  <c r="C91" i="38"/>
  <c r="C93" i="38"/>
  <c r="C94" i="38"/>
  <c r="C95" i="38"/>
  <c r="C96" i="38"/>
  <c r="C97" i="38"/>
  <c r="C99" i="38"/>
  <c r="C100" i="38"/>
  <c r="C101" i="38"/>
  <c r="C102" i="38"/>
  <c r="C103" i="38"/>
  <c r="C105" i="38"/>
  <c r="C106" i="38"/>
  <c r="C107" i="38"/>
  <c r="C10" i="38"/>
  <c r="C11" i="38"/>
  <c r="C12" i="38"/>
  <c r="C13" i="38"/>
  <c r="C15" i="38"/>
  <c r="C16" i="38"/>
  <c r="C17" i="38"/>
  <c r="C18" i="38"/>
  <c r="C19" i="38"/>
  <c r="C21" i="38"/>
  <c r="C22" i="38"/>
  <c r="C23" i="38"/>
  <c r="C24" i="38"/>
  <c r="C25" i="38"/>
  <c r="C27" i="38"/>
  <c r="C28" i="38"/>
  <c r="C29" i="38"/>
  <c r="C30" i="38"/>
  <c r="C31" i="38"/>
  <c r="C33" i="38"/>
  <c r="C9" i="38"/>
  <c r="AF7" i="36"/>
  <c r="Q7" i="36"/>
  <c r="V7" i="36"/>
  <c r="P7" i="36"/>
  <c r="K7" i="36"/>
  <c r="L7" i="36"/>
  <c r="M7" i="36"/>
  <c r="N7" i="36"/>
  <c r="H7" i="36"/>
  <c r="I7" i="36"/>
  <c r="F7" i="36"/>
  <c r="E7" i="36"/>
  <c r="C7" i="38" l="1"/>
  <c r="AI101" i="36"/>
  <c r="AI102" i="36"/>
  <c r="AI103" i="36"/>
  <c r="AI105" i="36"/>
  <c r="AI106" i="36"/>
  <c r="AI107" i="36"/>
  <c r="AI91" i="36"/>
  <c r="AI94" i="36"/>
  <c r="AI95" i="36"/>
  <c r="AI96" i="36"/>
  <c r="AI97" i="36"/>
  <c r="AI99" i="36"/>
  <c r="AI77" i="36"/>
  <c r="AI78" i="36"/>
  <c r="AI79" i="36"/>
  <c r="AI81" i="36"/>
  <c r="AI82" i="36"/>
  <c r="AI83" i="36"/>
  <c r="AI84" i="36"/>
  <c r="AI85" i="36"/>
  <c r="AI87" i="36"/>
  <c r="AI88" i="36"/>
  <c r="AI90" i="36"/>
  <c r="AI67" i="36"/>
  <c r="AI69" i="36"/>
  <c r="AI70" i="36"/>
  <c r="AI71" i="36"/>
  <c r="AI72" i="36"/>
  <c r="AI73" i="36"/>
  <c r="AI75" i="36"/>
  <c r="AI76" i="36"/>
  <c r="AI51" i="36"/>
  <c r="AI52" i="36"/>
  <c r="AI53" i="36"/>
  <c r="AI54" i="36"/>
  <c r="AI55" i="36"/>
  <c r="AI57" i="36"/>
  <c r="AI59" i="36"/>
  <c r="AI60" i="36"/>
  <c r="AI61" i="36"/>
  <c r="AI63" i="36"/>
  <c r="AI64" i="36"/>
  <c r="AI66" i="36"/>
  <c r="AI39" i="36"/>
  <c r="AI33" i="36"/>
  <c r="AI34" i="36"/>
  <c r="AI35" i="36"/>
  <c r="AI36" i="36"/>
  <c r="AI37" i="36"/>
  <c r="AI40" i="36"/>
  <c r="AI41" i="36"/>
  <c r="AI42" i="36"/>
  <c r="AI43" i="36"/>
  <c r="AI45" i="36"/>
  <c r="AI46" i="36"/>
  <c r="AI47" i="36"/>
  <c r="AI48" i="36"/>
  <c r="AI49" i="36"/>
  <c r="AI15" i="36"/>
  <c r="AI16" i="36"/>
  <c r="AI17" i="36"/>
  <c r="AI18" i="36"/>
  <c r="AI19" i="36"/>
  <c r="AI21" i="36"/>
  <c r="AI22" i="36"/>
  <c r="AI23" i="36"/>
  <c r="AI24" i="36"/>
  <c r="AI25" i="36"/>
  <c r="AI27" i="36"/>
  <c r="AI28" i="36"/>
  <c r="AI29" i="36"/>
  <c r="AI30" i="36"/>
  <c r="AI31" i="36"/>
  <c r="AI10" i="36"/>
  <c r="AI11" i="36"/>
  <c r="AI12" i="36"/>
  <c r="AI13" i="36"/>
  <c r="AI9" i="36"/>
  <c r="Q93" i="36" l="1"/>
  <c r="Q94" i="36"/>
  <c r="Q95" i="36"/>
  <c r="Q96" i="36"/>
  <c r="Q97" i="36"/>
  <c r="Q99" i="36"/>
  <c r="Q100" i="36"/>
  <c r="Q101" i="36"/>
  <c r="Q102" i="36"/>
  <c r="Q103" i="36"/>
  <c r="Q105" i="36"/>
  <c r="Q69" i="36"/>
  <c r="Q70" i="36"/>
  <c r="Q71" i="36"/>
  <c r="Q72" i="36"/>
  <c r="Q73" i="36"/>
  <c r="Q75" i="36"/>
  <c r="Q76" i="36"/>
  <c r="Q77" i="36"/>
  <c r="Q78" i="36"/>
  <c r="Q79" i="36"/>
  <c r="Q81" i="36"/>
  <c r="Q82" i="36"/>
  <c r="Q83" i="36"/>
  <c r="Q84" i="36"/>
  <c r="Q85" i="36"/>
  <c r="Q87" i="36"/>
  <c r="Q63" i="36"/>
  <c r="Q64" i="36"/>
  <c r="Q57" i="36"/>
  <c r="D7" i="36"/>
  <c r="J7" i="36"/>
  <c r="E7" i="64"/>
  <c r="G46" i="65" l="1"/>
  <c r="H106" i="65"/>
  <c r="H105" i="65"/>
  <c r="H104" i="65"/>
  <c r="H102" i="65"/>
  <c r="H101" i="65"/>
  <c r="H100" i="65"/>
  <c r="H99" i="65"/>
  <c r="H98" i="65"/>
  <c r="H96" i="65"/>
  <c r="H95" i="65"/>
  <c r="H94" i="65"/>
  <c r="H93" i="65"/>
  <c r="H92" i="65"/>
  <c r="H90" i="65"/>
  <c r="H89" i="65"/>
  <c r="H88" i="65"/>
  <c r="H87" i="65"/>
  <c r="H86" i="65"/>
  <c r="H84" i="65"/>
  <c r="H83" i="65"/>
  <c r="H82" i="65"/>
  <c r="H81" i="65"/>
  <c r="H80" i="65"/>
  <c r="H78" i="65"/>
  <c r="H77" i="65"/>
  <c r="H76" i="65"/>
  <c r="H75" i="65"/>
  <c r="H74" i="65"/>
  <c r="H72" i="65"/>
  <c r="H71" i="65"/>
  <c r="H70" i="65"/>
  <c r="H69" i="65"/>
  <c r="H68" i="65"/>
  <c r="H66" i="65"/>
  <c r="H65" i="65"/>
  <c r="H64" i="65"/>
  <c r="H63" i="65"/>
  <c r="H62" i="65"/>
  <c r="H60" i="65"/>
  <c r="H59" i="65"/>
  <c r="H58" i="65"/>
  <c r="H57" i="65"/>
  <c r="H56" i="65"/>
  <c r="H54" i="65"/>
  <c r="H53" i="65"/>
  <c r="H52" i="65"/>
  <c r="H51" i="65"/>
  <c r="H50" i="65"/>
  <c r="H48" i="65"/>
  <c r="H47" i="65"/>
  <c r="H46" i="65"/>
  <c r="H45" i="65"/>
  <c r="H44" i="65"/>
  <c r="H42" i="65"/>
  <c r="H41" i="65"/>
  <c r="H40" i="65"/>
  <c r="H39" i="65"/>
  <c r="H38" i="65"/>
  <c r="H36" i="65"/>
  <c r="H35" i="65"/>
  <c r="H34" i="65"/>
  <c r="H33" i="65"/>
  <c r="H32" i="65"/>
  <c r="H30" i="65"/>
  <c r="H29" i="65"/>
  <c r="H28" i="65"/>
  <c r="H27" i="65"/>
  <c r="H26" i="65"/>
  <c r="H24" i="65"/>
  <c r="H23" i="65"/>
  <c r="H22" i="65"/>
  <c r="H21" i="65"/>
  <c r="H20" i="65"/>
  <c r="H18" i="65"/>
  <c r="H17" i="65"/>
  <c r="H16" i="65"/>
  <c r="H15" i="65"/>
  <c r="H14" i="65"/>
  <c r="H12" i="65"/>
  <c r="H11" i="65"/>
  <c r="H10" i="65"/>
  <c r="H9" i="65"/>
  <c r="H8" i="65"/>
  <c r="H6" i="65"/>
  <c r="G106" i="65"/>
  <c r="G105" i="65"/>
  <c r="G104" i="65"/>
  <c r="G102" i="65"/>
  <c r="G101" i="65"/>
  <c r="G100" i="65"/>
  <c r="G99" i="65"/>
  <c r="G98" i="65"/>
  <c r="G96" i="65"/>
  <c r="G95" i="65"/>
  <c r="G94" i="65"/>
  <c r="G93" i="65"/>
  <c r="G92" i="65"/>
  <c r="G90" i="65"/>
  <c r="G89" i="65"/>
  <c r="G88" i="65"/>
  <c r="G87" i="65"/>
  <c r="G86" i="65"/>
  <c r="G84" i="65"/>
  <c r="G83" i="65"/>
  <c r="G82" i="65"/>
  <c r="G81" i="65"/>
  <c r="G80" i="65"/>
  <c r="G78" i="65"/>
  <c r="G77" i="65"/>
  <c r="G76" i="65"/>
  <c r="G75" i="65"/>
  <c r="G74" i="65"/>
  <c r="G72" i="65"/>
  <c r="G71" i="65"/>
  <c r="G70" i="65"/>
  <c r="G69" i="65"/>
  <c r="G68" i="65"/>
  <c r="G66" i="65"/>
  <c r="G65" i="65"/>
  <c r="G64" i="65"/>
  <c r="G63" i="65"/>
  <c r="G62" i="65"/>
  <c r="G60" i="65"/>
  <c r="G59" i="65"/>
  <c r="G58" i="65"/>
  <c r="G57" i="65"/>
  <c r="G56" i="65"/>
  <c r="G54" i="65"/>
  <c r="G53" i="65"/>
  <c r="G52" i="65"/>
  <c r="G51" i="65"/>
  <c r="G50" i="65"/>
  <c r="G48" i="65"/>
  <c r="G47" i="65"/>
  <c r="G45" i="65"/>
  <c r="G44" i="65"/>
  <c r="G42" i="65"/>
  <c r="G41" i="65"/>
  <c r="G40" i="65"/>
  <c r="G39" i="65"/>
  <c r="G38" i="65"/>
  <c r="G36" i="65"/>
  <c r="G35" i="65"/>
  <c r="G34" i="65"/>
  <c r="G33" i="65"/>
  <c r="G32" i="65"/>
  <c r="G30" i="65"/>
  <c r="G29" i="65"/>
  <c r="G28" i="65"/>
  <c r="G27" i="65"/>
  <c r="G26" i="65"/>
  <c r="G24" i="65"/>
  <c r="G23" i="65"/>
  <c r="G22" i="65"/>
  <c r="G21" i="65"/>
  <c r="G20" i="65"/>
  <c r="G18" i="65"/>
  <c r="G17" i="65"/>
  <c r="G16" i="65"/>
  <c r="G15" i="65"/>
  <c r="G14" i="65"/>
  <c r="G12" i="65"/>
  <c r="G11" i="65"/>
  <c r="G10" i="65"/>
  <c r="G9" i="65"/>
  <c r="G8" i="65"/>
  <c r="G6" i="65"/>
  <c r="F106" i="65"/>
  <c r="F105" i="65"/>
  <c r="F104" i="65"/>
  <c r="F102" i="65"/>
  <c r="F101" i="65"/>
  <c r="F100" i="65"/>
  <c r="F99" i="65"/>
  <c r="F98" i="65"/>
  <c r="F96" i="65"/>
  <c r="F95" i="65"/>
  <c r="F94" i="65"/>
  <c r="F93" i="65"/>
  <c r="F92" i="65"/>
  <c r="F90" i="65"/>
  <c r="F89" i="65"/>
  <c r="F88" i="65"/>
  <c r="F87" i="65"/>
  <c r="F86" i="65"/>
  <c r="F84" i="65"/>
  <c r="F83" i="65"/>
  <c r="F82" i="65"/>
  <c r="F81" i="65"/>
  <c r="F80" i="65"/>
  <c r="F78" i="65"/>
  <c r="F77" i="65"/>
  <c r="F76" i="65"/>
  <c r="F75" i="65"/>
  <c r="F74" i="65"/>
  <c r="F72" i="65"/>
  <c r="F71" i="65"/>
  <c r="F70" i="65"/>
  <c r="F69" i="65"/>
  <c r="F68" i="65"/>
  <c r="F66" i="65"/>
  <c r="F65" i="65"/>
  <c r="F64" i="65"/>
  <c r="F63" i="65"/>
  <c r="F62" i="65"/>
  <c r="F60" i="65"/>
  <c r="F59" i="65"/>
  <c r="F58" i="65"/>
  <c r="F57" i="65"/>
  <c r="F56" i="65"/>
  <c r="F54" i="65"/>
  <c r="F53" i="65"/>
  <c r="F52" i="65"/>
  <c r="F51" i="65"/>
  <c r="F50" i="65"/>
  <c r="F48" i="65"/>
  <c r="F47" i="65"/>
  <c r="F46" i="65"/>
  <c r="F45" i="65"/>
  <c r="F44" i="65"/>
  <c r="F42" i="65"/>
  <c r="F41" i="65"/>
  <c r="F40" i="65"/>
  <c r="F39" i="65"/>
  <c r="F38" i="65"/>
  <c r="F36" i="65"/>
  <c r="F35" i="65"/>
  <c r="F34" i="65"/>
  <c r="F33" i="65"/>
  <c r="F32" i="65"/>
  <c r="F30" i="65"/>
  <c r="F29" i="65"/>
  <c r="F28" i="65"/>
  <c r="F27" i="65"/>
  <c r="F26" i="65"/>
  <c r="F24" i="65"/>
  <c r="F23" i="65"/>
  <c r="F22" i="65"/>
  <c r="F21" i="65"/>
  <c r="F20" i="65"/>
  <c r="F18" i="65"/>
  <c r="F17" i="65"/>
  <c r="F16" i="65"/>
  <c r="F15" i="65"/>
  <c r="F14" i="65"/>
  <c r="F12" i="65"/>
  <c r="F11" i="65"/>
  <c r="F10" i="65"/>
  <c r="F9" i="65"/>
  <c r="F8" i="65"/>
  <c r="F6" i="65"/>
  <c r="E106" i="65"/>
  <c r="E105" i="65"/>
  <c r="E104" i="65"/>
  <c r="E102" i="65"/>
  <c r="E101" i="65"/>
  <c r="E100" i="65"/>
  <c r="E99" i="65"/>
  <c r="E98" i="65"/>
  <c r="E96" i="65"/>
  <c r="E95" i="65"/>
  <c r="E94" i="65"/>
  <c r="E93" i="65"/>
  <c r="E92" i="65"/>
  <c r="E90" i="65"/>
  <c r="E89" i="65"/>
  <c r="E88" i="65"/>
  <c r="E87" i="65"/>
  <c r="E86" i="65"/>
  <c r="E84" i="65"/>
  <c r="E83" i="65"/>
  <c r="E82" i="65"/>
  <c r="E81" i="65"/>
  <c r="E80" i="65"/>
  <c r="E78" i="65"/>
  <c r="E77" i="65"/>
  <c r="E76" i="65"/>
  <c r="E75" i="65"/>
  <c r="E74" i="65"/>
  <c r="E72" i="65"/>
  <c r="E71" i="65"/>
  <c r="E70" i="65"/>
  <c r="E69" i="65"/>
  <c r="E68" i="65"/>
  <c r="E66" i="65"/>
  <c r="E65" i="65"/>
  <c r="E64" i="65"/>
  <c r="E63" i="65"/>
  <c r="E62" i="65"/>
  <c r="E60" i="65"/>
  <c r="E59" i="65"/>
  <c r="E58" i="65"/>
  <c r="E57" i="65"/>
  <c r="E56" i="65"/>
  <c r="E54" i="65"/>
  <c r="E53" i="65"/>
  <c r="E52" i="65"/>
  <c r="E51" i="65"/>
  <c r="E50" i="65"/>
  <c r="E48" i="65"/>
  <c r="E47" i="65"/>
  <c r="E46" i="65"/>
  <c r="E45" i="65"/>
  <c r="E44" i="65"/>
  <c r="E42" i="65"/>
  <c r="E41" i="65"/>
  <c r="E40" i="65"/>
  <c r="E39" i="65"/>
  <c r="E38" i="65"/>
  <c r="E36" i="65"/>
  <c r="E35" i="65"/>
  <c r="E34" i="65"/>
  <c r="E33" i="65"/>
  <c r="E32" i="65"/>
  <c r="E30" i="65"/>
  <c r="E29" i="65"/>
  <c r="E28" i="65"/>
  <c r="E27" i="65"/>
  <c r="E26" i="65"/>
  <c r="E24" i="65"/>
  <c r="E23" i="65"/>
  <c r="E22" i="65"/>
  <c r="E21" i="65"/>
  <c r="E20" i="65"/>
  <c r="E18" i="65"/>
  <c r="E17" i="65"/>
  <c r="E16" i="65"/>
  <c r="E15" i="65"/>
  <c r="E14" i="65"/>
  <c r="E12" i="65"/>
  <c r="E11" i="65"/>
  <c r="E10" i="65"/>
  <c r="E9" i="65"/>
  <c r="E8" i="65"/>
  <c r="E6" i="65"/>
  <c r="Q12" i="35"/>
  <c r="Q28" i="35" s="1"/>
  <c r="P12" i="35"/>
  <c r="P28" i="35" s="1"/>
  <c r="O12" i="35"/>
  <c r="O28" i="35" s="1"/>
  <c r="N12" i="35"/>
  <c r="N28" i="35" s="1"/>
  <c r="M12" i="35"/>
  <c r="M28" i="35" s="1"/>
  <c r="L12" i="35"/>
  <c r="L28" i="35" s="1"/>
  <c r="K12" i="35"/>
  <c r="K28" i="35" s="1"/>
  <c r="J12" i="35"/>
  <c r="J28" i="35" s="1"/>
  <c r="I12" i="35"/>
  <c r="I28" i="35" s="1"/>
  <c r="H12" i="35"/>
  <c r="H28" i="35" s="1"/>
  <c r="G12" i="35"/>
  <c r="G28" i="35" s="1"/>
  <c r="F12" i="35"/>
  <c r="F28" i="35" s="1"/>
  <c r="E12" i="35"/>
  <c r="E28" i="35" s="1"/>
  <c r="D12" i="35"/>
  <c r="D28" i="35" s="1"/>
  <c r="C12" i="35"/>
  <c r="C28" i="35" s="1"/>
  <c r="AL7" i="36" l="1"/>
  <c r="AH7" i="36"/>
  <c r="AE7" i="36"/>
  <c r="AD7" i="36"/>
  <c r="AB7" i="36"/>
  <c r="Y7" i="36"/>
  <c r="S7" i="36"/>
  <c r="AC7" i="36"/>
  <c r="U7" i="36"/>
  <c r="AK7" i="36"/>
  <c r="AA7" i="36"/>
  <c r="Z7" i="36"/>
  <c r="AJ7" i="36"/>
  <c r="W7" i="36"/>
  <c r="AG7" i="36"/>
  <c r="X7" i="36"/>
  <c r="AI7" i="36" l="1"/>
  <c r="T7" i="36"/>
  <c r="G7" i="36"/>
  <c r="R7" i="36"/>
  <c r="O7" i="36"/>
  <c r="E102" i="4" l="1"/>
  <c r="E98" i="4"/>
  <c r="I123" i="2"/>
  <c r="H122" i="2"/>
  <c r="I121" i="2"/>
  <c r="I120" i="2"/>
  <c r="H120" i="2"/>
  <c r="G120" i="2"/>
  <c r="I117" i="2"/>
  <c r="H117" i="2"/>
  <c r="G108" i="2"/>
  <c r="Q108" i="36"/>
  <c r="Q107" i="36"/>
  <c r="Q106" i="36"/>
  <c r="Q91" i="36"/>
  <c r="Q90" i="36"/>
  <c r="Q89" i="36"/>
  <c r="Q88" i="36"/>
  <c r="Q67" i="36"/>
  <c r="Q66" i="36"/>
  <c r="Q65" i="36"/>
  <c r="Q61" i="36"/>
  <c r="Q60" i="36"/>
  <c r="Q59" i="36"/>
  <c r="Q58" i="36"/>
  <c r="Q55" i="36"/>
  <c r="Q54" i="36"/>
  <c r="Q53" i="36"/>
  <c r="Q52" i="36"/>
  <c r="Q51" i="36"/>
  <c r="Q49" i="36"/>
  <c r="Q48" i="36"/>
  <c r="Q47" i="36"/>
  <c r="Q46" i="36"/>
  <c r="Q45" i="36"/>
  <c r="Q43" i="36"/>
  <c r="Q42" i="36"/>
  <c r="Q41" i="36"/>
  <c r="Q40" i="36"/>
  <c r="Q39" i="36"/>
  <c r="Q37" i="36"/>
  <c r="Q36" i="36"/>
  <c r="Q35" i="36"/>
  <c r="Q34" i="36"/>
  <c r="Q33" i="36"/>
  <c r="Q31" i="36"/>
  <c r="Q30" i="36"/>
  <c r="Q29" i="36"/>
  <c r="Q28" i="36"/>
  <c r="Q27" i="36"/>
  <c r="Q25" i="36"/>
  <c r="Q24" i="36"/>
  <c r="Q23" i="36"/>
  <c r="Q22" i="36"/>
  <c r="Q21" i="36"/>
  <c r="Q19" i="36"/>
  <c r="Q18" i="36"/>
  <c r="Q17" i="36"/>
  <c r="Q16" i="36"/>
  <c r="Q15" i="36"/>
  <c r="Q13" i="36"/>
  <c r="Q12" i="36"/>
  <c r="Q11" i="36"/>
  <c r="Q10" i="36"/>
  <c r="Q9" i="36"/>
</calcChain>
</file>

<file path=xl/sharedStrings.xml><?xml version="1.0" encoding="utf-8"?>
<sst xmlns="http://schemas.openxmlformats.org/spreadsheetml/2006/main" count="6045" uniqueCount="643">
  <si>
    <t>60-64</t>
  </si>
  <si>
    <t>65-69</t>
  </si>
  <si>
    <t>70-74</t>
  </si>
  <si>
    <t>75-79</t>
  </si>
  <si>
    <t>80-84</t>
  </si>
  <si>
    <t>85+</t>
  </si>
  <si>
    <t>Table 4.19</t>
  </si>
  <si>
    <t>Abridged Life Table</t>
  </si>
  <si>
    <t>Age</t>
  </si>
  <si>
    <t>nqx(1)</t>
  </si>
  <si>
    <t>lx(2)</t>
  </si>
  <si>
    <t>ndx(3)</t>
  </si>
  <si>
    <t>nLx(4)</t>
  </si>
  <si>
    <t>Tx(5)</t>
  </si>
  <si>
    <t>ex(6)</t>
  </si>
  <si>
    <t>00-01</t>
  </si>
  <si>
    <t>01-05</t>
  </si>
  <si>
    <t>05-10</t>
  </si>
  <si>
    <t>10-15</t>
  </si>
  <si>
    <t>15-20</t>
  </si>
  <si>
    <t>20-25</t>
  </si>
  <si>
    <t>25-30</t>
  </si>
  <si>
    <t>30-35</t>
  </si>
  <si>
    <t>35-40</t>
  </si>
  <si>
    <t>40-45</t>
  </si>
  <si>
    <t>45-50</t>
  </si>
  <si>
    <t>50-55</t>
  </si>
  <si>
    <t>55-60</t>
  </si>
  <si>
    <t>60-65</t>
  </si>
  <si>
    <t>65-70</t>
  </si>
  <si>
    <t>70-75</t>
  </si>
  <si>
    <t>75-80</t>
  </si>
  <si>
    <t>80-85</t>
  </si>
  <si>
    <t>Table 4.27</t>
  </si>
  <si>
    <t>Abridged Life Table For Black Females</t>
  </si>
  <si>
    <t>Table 4.26</t>
  </si>
  <si>
    <t>Abridged Life Table For Black Males</t>
  </si>
  <si>
    <t>Table 4.25</t>
  </si>
  <si>
    <t>Abridged Life Table For Blacks</t>
  </si>
  <si>
    <t>Table 4.24</t>
  </si>
  <si>
    <t>Abridged Life Table For White Females</t>
  </si>
  <si>
    <t>Table 4.23</t>
  </si>
  <si>
    <t>Abridged Life Table For White Males</t>
  </si>
  <si>
    <t>Table 4.22</t>
  </si>
  <si>
    <t>Abridged Life Table For Whites</t>
  </si>
  <si>
    <t>Table 4.21</t>
  </si>
  <si>
    <t>Abridged Life Table For Females</t>
  </si>
  <si>
    <t>Table 4.20</t>
  </si>
  <si>
    <t>Abridged Life Table For Males</t>
  </si>
  <si>
    <t>Table 4.28</t>
  </si>
  <si>
    <t>Age-Adjusted Death Rates by Race and Sex,</t>
  </si>
  <si>
    <t>Place</t>
  </si>
  <si>
    <t xml:space="preserve">  Michigan</t>
  </si>
  <si>
    <t>1994</t>
  </si>
  <si>
    <t xml:space="preserve">  United</t>
  </si>
  <si>
    <t xml:space="preserve">  States</t>
  </si>
  <si>
    <t>1995</t>
  </si>
  <si>
    <t>1996</t>
  </si>
  <si>
    <t>1997</t>
  </si>
  <si>
    <t>1998</t>
  </si>
  <si>
    <t>Prior to rate calculations, death records with race not stated were randomly allocated to the white and other than white groups based on the proportion of Michigan resident deaths in each of the racial categories for that year. Records with sex not stated were randomly assigned to male and female (50 percent each). Records with age not stated were allocated to the age group 85 and over.</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</si>
  <si>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all causes of death is 1.00.</t>
  </si>
  <si>
    <t>Age-Adjusted rates are computed by the direct method, using the Year 2000 population as the standard population. Rates are per 100,000 in the specified group.</t>
  </si>
  <si>
    <t>Table 4.30</t>
  </si>
  <si>
    <t>Age-Adjusted Cancer Death Rates by Race and Sex,</t>
  </si>
  <si>
    <r>
      <t xml:space="preserve">Table 4.1 </t>
    </r>
    <r>
      <rPr>
        <sz val="12"/>
        <rFont val="Arial"/>
        <family val="2"/>
      </rPr>
      <t>Population, Live Births, Deaths, Marriages and Divorces,</t>
    </r>
  </si>
  <si>
    <r>
      <t xml:space="preserve">Table 4.2 </t>
    </r>
    <r>
      <rPr>
        <sz val="12"/>
        <rFont val="Arial"/>
        <family val="2"/>
      </rPr>
      <t>Live Birth Rates, Death Rates, Fetal Death Ratios, Marriage and Divorce Rates,</t>
    </r>
  </si>
  <si>
    <r>
      <t xml:space="preserve">Table 4.3 </t>
    </r>
    <r>
      <rPr>
        <sz val="12"/>
        <rFont val="Arial"/>
        <family val="2"/>
      </rPr>
      <t>Number of Live Births by Age of Mother,</t>
    </r>
  </si>
  <si>
    <r>
      <t xml:space="preserve">Table 4.8 </t>
    </r>
    <r>
      <rPr>
        <sz val="12"/>
        <rFont val="Arial"/>
        <family val="2"/>
      </rPr>
      <t>Number of Deaths and Death Rates</t>
    </r>
    <r>
      <rPr>
        <vertAlign val="superscript"/>
        <sz val="12"/>
        <rFont val="Arial"/>
        <family val="2"/>
      </rPr>
      <t xml:space="preserve">  </t>
    </r>
    <r>
      <rPr>
        <sz val="12"/>
        <rFont val="Arial"/>
        <family val="2"/>
      </rPr>
      <t>by Specified Causes</t>
    </r>
  </si>
  <si>
    <r>
      <t xml:space="preserve">Table 4.19 </t>
    </r>
    <r>
      <rPr>
        <sz val="12"/>
        <rFont val="Arial"/>
        <family val="2"/>
      </rPr>
      <t>Abridged Life Tables</t>
    </r>
  </si>
  <si>
    <r>
      <t xml:space="preserve">Table 4.20 </t>
    </r>
    <r>
      <rPr>
        <sz val="12"/>
        <rFont val="Arial"/>
        <family val="2"/>
      </rPr>
      <t>Abridged Life Tables</t>
    </r>
  </si>
  <si>
    <r>
      <t xml:space="preserve">Table 4.21 </t>
    </r>
    <r>
      <rPr>
        <sz val="12"/>
        <rFont val="Arial"/>
        <family val="2"/>
      </rPr>
      <t>Abridged Life Tables</t>
    </r>
  </si>
  <si>
    <r>
      <t xml:space="preserve">Table 4.22 </t>
    </r>
    <r>
      <rPr>
        <sz val="12"/>
        <rFont val="Arial"/>
        <family val="2"/>
      </rPr>
      <t>Abridged Life Tables</t>
    </r>
  </si>
  <si>
    <r>
      <t xml:space="preserve">Table 4.23 </t>
    </r>
    <r>
      <rPr>
        <sz val="12"/>
        <rFont val="Arial"/>
        <family val="2"/>
      </rPr>
      <t>Abridged Life Tables</t>
    </r>
  </si>
  <si>
    <r>
      <t xml:space="preserve">Table 4.24 </t>
    </r>
    <r>
      <rPr>
        <sz val="12"/>
        <rFont val="Arial"/>
        <family val="2"/>
      </rPr>
      <t>Abridged Life Tables</t>
    </r>
  </si>
  <si>
    <r>
      <t xml:space="preserve">Table 4.25 </t>
    </r>
    <r>
      <rPr>
        <sz val="12"/>
        <rFont val="Arial"/>
        <family val="2"/>
      </rPr>
      <t>Abridged Life Tables</t>
    </r>
  </si>
  <si>
    <r>
      <t xml:space="preserve">Table 4.26 </t>
    </r>
    <r>
      <rPr>
        <sz val="12"/>
        <rFont val="Arial"/>
        <family val="2"/>
      </rPr>
      <t>Abridged Life Tables</t>
    </r>
  </si>
  <si>
    <r>
      <t xml:space="preserve">Table 4.27 </t>
    </r>
    <r>
      <rPr>
        <sz val="12"/>
        <rFont val="Arial"/>
        <family val="2"/>
      </rPr>
      <t>Abridged Life Tables</t>
    </r>
  </si>
  <si>
    <r>
      <t>Table 4.28</t>
    </r>
    <r>
      <rPr>
        <sz val="12"/>
        <rFont val="Arial"/>
        <family val="2"/>
      </rPr>
      <t xml:space="preserve"> Age-Adjusted Death Rates by Race and Sex,</t>
    </r>
  </si>
  <si>
    <r>
      <t>T</t>
    </r>
    <r>
      <rPr>
        <b/>
        <sz val="12"/>
        <rFont val="Arial"/>
        <family val="2"/>
      </rPr>
      <t>able 4.29</t>
    </r>
    <r>
      <rPr>
        <sz val="12"/>
        <rFont val="Arial"/>
        <family val="2"/>
      </rPr>
      <t xml:space="preserve"> Age-Adjusted Diseases of the Heart Death Rates by Race and Sex,</t>
    </r>
  </si>
  <si>
    <r>
      <t>Table 4.30</t>
    </r>
    <r>
      <rPr>
        <sz val="12"/>
        <rFont val="Arial"/>
        <family val="2"/>
      </rPr>
      <t xml:space="preserve"> Age-Adjusted Cancer Death Rates by Race and Sex,</t>
    </r>
  </si>
  <si>
    <r>
      <t>Table 4.31</t>
    </r>
    <r>
      <rPr>
        <sz val="12"/>
        <rFont val="Arial"/>
        <family val="2"/>
      </rPr>
      <t xml:space="preserve"> Age-Adjusted Stroke Death Rates by Race and Sex,</t>
    </r>
  </si>
  <si>
    <r>
      <t>Table 4.32</t>
    </r>
    <r>
      <rPr>
        <sz val="12"/>
        <rFont val="Arial"/>
        <family val="2"/>
      </rPr>
      <t xml:space="preserve"> Age-Adjusted Chronic Lower Respiratory Disease Death Rates by Race and Sex,</t>
    </r>
  </si>
  <si>
    <r>
      <t>Table 4.33</t>
    </r>
    <r>
      <rPr>
        <sz val="12"/>
        <rFont val="Arial"/>
        <family val="2"/>
      </rPr>
      <t xml:space="preserve"> Age-Adjusted Unintentional Injuries Death Rates by Race and Sex,</t>
    </r>
  </si>
  <si>
    <r>
      <t>T</t>
    </r>
    <r>
      <rPr>
        <b/>
        <sz val="12"/>
        <rFont val="Arial"/>
        <family val="2"/>
      </rPr>
      <t>able 4.34</t>
    </r>
    <r>
      <rPr>
        <sz val="12"/>
        <rFont val="Arial"/>
        <family val="2"/>
      </rPr>
      <t xml:space="preserve"> Age-Adjusted Pneumonia and Influenza Death Rates by Race and Sex,</t>
    </r>
  </si>
  <si>
    <r>
      <t>Table 4.35</t>
    </r>
    <r>
      <rPr>
        <sz val="12"/>
        <rFont val="Arial"/>
        <family val="2"/>
      </rPr>
      <t xml:space="preserve"> Age-Adjusted Diabetes Mellitus Death Rates by Race and Sex,</t>
    </r>
  </si>
  <si>
    <r>
      <t>Table 4.36</t>
    </r>
    <r>
      <rPr>
        <sz val="12"/>
        <rFont val="Arial"/>
        <family val="2"/>
      </rPr>
      <t xml:space="preserve"> Age-Adjusted Chronic Liver Disease and Cirrhosis Death Rates by Race and Sex,</t>
    </r>
  </si>
  <si>
    <r>
      <t>Table 4.37</t>
    </r>
    <r>
      <rPr>
        <sz val="12"/>
        <rFont val="Arial"/>
        <family val="2"/>
      </rPr>
      <t xml:space="preserve"> Age-Adjusted Suicide Death Rates by Race and Sex,</t>
    </r>
  </si>
  <si>
    <r>
      <t>T</t>
    </r>
    <r>
      <rPr>
        <b/>
        <sz val="12"/>
        <rFont val="Arial"/>
        <family val="2"/>
      </rPr>
      <t>able 4.38</t>
    </r>
    <r>
      <rPr>
        <sz val="12"/>
        <rFont val="Arial"/>
        <family val="2"/>
      </rPr>
      <t xml:space="preserve"> Age-Adjusted Homicide Death Rates by Race and Sex,</t>
    </r>
  </si>
  <si>
    <r>
      <t>Table 4.39</t>
    </r>
    <r>
      <rPr>
        <sz val="12"/>
        <rFont val="Arial"/>
        <family val="2"/>
      </rPr>
      <t xml:space="preserve"> Age-Adjusted AIDS Death Rates by Race and Sex,</t>
    </r>
  </si>
  <si>
    <r>
      <t>Table 4.40</t>
    </r>
    <r>
      <rPr>
        <sz val="12"/>
        <rFont val="Arial"/>
        <family val="2"/>
      </rPr>
      <t xml:space="preserve"> Age-Adjusted Kidney Disease Death Rates by Race and Sex,</t>
    </r>
  </si>
  <si>
    <t>INDEX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</si>
  <si>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cancer is 1.01.</t>
  </si>
  <si>
    <t>Table 4.29</t>
  </si>
  <si>
    <t>Age-Adjusted Diseases of the Heart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</si>
  <si>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diseases of the heart is 0.99.</t>
  </si>
  <si>
    <t>Table 4.31</t>
  </si>
  <si>
    <t>Age-Adjusted Stroke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</si>
  <si>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cerebrovascular disease is 1.06.</t>
  </si>
  <si>
    <t>Table 4.33</t>
  </si>
  <si>
    <t>Age-Adjusted Unintentional Injuries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</si>
  <si>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unintentional injuries is 1.03.</t>
  </si>
  <si>
    <t>Table 4.32</t>
  </si>
  <si>
    <t>Age-Adjusted Chronic Lower Respiratory Disease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</si>
  <si>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chronic lower respiratory disease is 1.05.</t>
  </si>
  <si>
    <t>Table 4.34</t>
  </si>
  <si>
    <t>Age-Adjusted Pneumonia and Influenza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</si>
  <si>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pneumonia and influenza is 0.70.</t>
  </si>
  <si>
    <t>Table 4.36</t>
  </si>
  <si>
    <t>Age-Adjusted Chronic Liver Disease and Cirrhosis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</si>
  <si>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chronic liver disease and cirrhosis is 1.04.</t>
  </si>
  <si>
    <t>Table 4.35</t>
  </si>
  <si>
    <t>Age-Adjusted Diabetes Mellitus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</si>
  <si>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diabetes mellitus is 1.01.</t>
  </si>
  <si>
    <t>Table 4.37</t>
  </si>
  <si>
    <t>Age-Adjusted Suicide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</si>
  <si>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suicide is 1.00.</t>
  </si>
  <si>
    <t>Age-Adjusted Atherosclerosis Death Rates by Race and Sex,</t>
  </si>
  <si>
    <t>Age-Adjusted Septicemia Death Rates by Race and Sex,</t>
  </si>
  <si>
    <t>Age-Adjusted Alzheimers Disease Death Rates by Race and Sex,</t>
  </si>
  <si>
    <t>Age-Adjusted Motor Vehicle Accident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</si>
  <si>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motor vehicle accidents is 0.85.</t>
  </si>
  <si>
    <t>Table 4.40</t>
  </si>
  <si>
    <t>Age-Adjusted Kidney Disease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</si>
  <si>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kidney is 1.23.</t>
  </si>
  <si>
    <t>Table 4.39</t>
  </si>
  <si>
    <t>Age-Adjusted AIDS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</si>
  <si>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AIDS is 1.06.</t>
  </si>
  <si>
    <t>Table 4.38</t>
  </si>
  <si>
    <t>Age-Adjusted Homicide Death Rates by Race and Sex,</t>
  </si>
  <si>
    <t>Deaths for years 1980-1998 were classified in accordance with the Ninth Revision of the International Classification of Diseases (ICD-9), a coding structure developed be the World Health Organization (WHO). Deaths occurring on or after January 1, 1999 were classified using the Tenth Revision on the International Classification of Diseases (ICD-10). Because the underlying cause of death is classified differently between revision, statistics based on one revision are not directly comparable to those based on another revision without the use of a comparability ratio. The comparability ratio for homicide is 1.00.</t>
  </si>
  <si>
    <t>Table 4.41</t>
  </si>
  <si>
    <t>Population by Age and County of Residence</t>
  </si>
  <si>
    <t>County</t>
  </si>
  <si>
    <t>1 - 14</t>
  </si>
  <si>
    <t>15 - 24</t>
  </si>
  <si>
    <t>25 - 34</t>
  </si>
  <si>
    <t>35 - 44</t>
  </si>
  <si>
    <t>45 - 54</t>
  </si>
  <si>
    <t>55 - 64</t>
  </si>
  <si>
    <t>65 - 74</t>
  </si>
  <si>
    <t>75 - 84</t>
  </si>
  <si>
    <t>Table 4.42</t>
  </si>
  <si>
    <t>Deaths by Age and County of Residence</t>
  </si>
  <si>
    <t>Age at Death</t>
  </si>
  <si>
    <t>85 +</t>
  </si>
  <si>
    <t>Table 4.43</t>
  </si>
  <si>
    <t>Live Births by Race, Ancestry and County of Residence</t>
  </si>
  <si>
    <t>All Other Races</t>
  </si>
  <si>
    <t>Ancestry</t>
  </si>
  <si>
    <t>Arab</t>
  </si>
  <si>
    <t>Hispanic</t>
  </si>
  <si>
    <t>Note:  Unknown race is included in the "all races" column only.</t>
  </si>
  <si>
    <t>Table 4.44</t>
  </si>
  <si>
    <t>Deaths by Race, Ancestry and County of Residence</t>
  </si>
  <si>
    <t>Note: Unknown race is included in the All Races column only.</t>
  </si>
  <si>
    <t>Michigan</t>
  </si>
  <si>
    <t>Year</t>
  </si>
  <si>
    <t>1900</t>
  </si>
  <si>
    <t>1910</t>
  </si>
  <si>
    <t>1920</t>
  </si>
  <si>
    <t>1930</t>
  </si>
  <si>
    <t>1940</t>
  </si>
  <si>
    <t>1950</t>
  </si>
  <si>
    <t>1960</t>
  </si>
  <si>
    <t>1970</t>
  </si>
  <si>
    <t>1980</t>
  </si>
  <si>
    <t>1990</t>
  </si>
  <si>
    <t>1991</t>
  </si>
  <si>
    <t>1992</t>
  </si>
  <si>
    <t>1993</t>
  </si>
  <si>
    <t>Table 4.1</t>
  </si>
  <si>
    <t>Deaths</t>
  </si>
  <si>
    <t>Live Births</t>
  </si>
  <si>
    <t>All Ages</t>
  </si>
  <si>
    <t>28-364 Days</t>
  </si>
  <si>
    <t>Perinatal</t>
  </si>
  <si>
    <t>Fetal</t>
  </si>
  <si>
    <t xml:space="preserve"> Maternal</t>
  </si>
  <si>
    <t>Marriages</t>
  </si>
  <si>
    <t>1901</t>
  </si>
  <si>
    <t>1902</t>
  </si>
  <si>
    <t>1903</t>
  </si>
  <si>
    <t>1904</t>
  </si>
  <si>
    <t>1905</t>
  </si>
  <si>
    <t>1906</t>
  </si>
  <si>
    <t>1907</t>
  </si>
  <si>
    <t>1908</t>
  </si>
  <si>
    <t>1909</t>
  </si>
  <si>
    <t>1911</t>
  </si>
  <si>
    <t>1912</t>
  </si>
  <si>
    <t>1913</t>
  </si>
  <si>
    <t>1914</t>
  </si>
  <si>
    <t>1915</t>
  </si>
  <si>
    <t>1916</t>
  </si>
  <si>
    <t>1917</t>
  </si>
  <si>
    <t>1918</t>
  </si>
  <si>
    <t>1919</t>
  </si>
  <si>
    <t>1921</t>
  </si>
  <si>
    <t>1922</t>
  </si>
  <si>
    <t>1923</t>
  </si>
  <si>
    <t>1924</t>
  </si>
  <si>
    <t>1925</t>
  </si>
  <si>
    <t>1926</t>
  </si>
  <si>
    <t>1927</t>
  </si>
  <si>
    <t>1928</t>
  </si>
  <si>
    <t>1929</t>
  </si>
  <si>
    <t>1931</t>
  </si>
  <si>
    <t>1932</t>
  </si>
  <si>
    <t>1933</t>
  </si>
  <si>
    <t>1934</t>
  </si>
  <si>
    <t>1935</t>
  </si>
  <si>
    <t>1936</t>
  </si>
  <si>
    <t>1937</t>
  </si>
  <si>
    <t>1938</t>
  </si>
  <si>
    <t>1939</t>
  </si>
  <si>
    <t>1941</t>
  </si>
  <si>
    <t>1942</t>
  </si>
  <si>
    <t>1943</t>
  </si>
  <si>
    <t>1944</t>
  </si>
  <si>
    <t>1945</t>
  </si>
  <si>
    <t>1946</t>
  </si>
  <si>
    <t>1947</t>
  </si>
  <si>
    <t>1948</t>
  </si>
  <si>
    <t>1949</t>
  </si>
  <si>
    <t>1951</t>
  </si>
  <si>
    <t>1952</t>
  </si>
  <si>
    <t>1953</t>
  </si>
  <si>
    <t>1954</t>
  </si>
  <si>
    <t>1955</t>
  </si>
  <si>
    <t>1956</t>
  </si>
  <si>
    <t>1957</t>
  </si>
  <si>
    <t>1958</t>
  </si>
  <si>
    <t>1959</t>
  </si>
  <si>
    <t>1961</t>
  </si>
  <si>
    <t>1962</t>
  </si>
  <si>
    <t>1963</t>
  </si>
  <si>
    <t>1964</t>
  </si>
  <si>
    <t>1965</t>
  </si>
  <si>
    <t>1966</t>
  </si>
  <si>
    <t>1967</t>
  </si>
  <si>
    <t>1968</t>
  </si>
  <si>
    <t>1969</t>
  </si>
  <si>
    <t>1971</t>
  </si>
  <si>
    <t>1972</t>
  </si>
  <si>
    <t>1973</t>
  </si>
  <si>
    <t>1974</t>
  </si>
  <si>
    <t>1975</t>
  </si>
  <si>
    <t>1976</t>
  </si>
  <si>
    <t>1977</t>
  </si>
  <si>
    <t>1978</t>
  </si>
  <si>
    <t>1979</t>
  </si>
  <si>
    <t>1981</t>
  </si>
  <si>
    <t>1982</t>
  </si>
  <si>
    <t>1983</t>
  </si>
  <si>
    <t>1984</t>
  </si>
  <si>
    <t>1985</t>
  </si>
  <si>
    <t>1986</t>
  </si>
  <si>
    <t>1987</t>
  </si>
  <si>
    <t>1988</t>
  </si>
  <si>
    <t>1989</t>
  </si>
  <si>
    <t>Table 4.2</t>
  </si>
  <si>
    <t>Table 4.3</t>
  </si>
  <si>
    <t>Number of Live Births by Age of Mother,</t>
  </si>
  <si>
    <t>Age of Mother</t>
  </si>
  <si>
    <t>10-14</t>
  </si>
  <si>
    <t>15-19</t>
  </si>
  <si>
    <t>20-24</t>
  </si>
  <si>
    <t>25-29</t>
  </si>
  <si>
    <t>30-34</t>
  </si>
  <si>
    <t>35-39</t>
  </si>
  <si>
    <t>40-44</t>
  </si>
  <si>
    <t>45+</t>
  </si>
  <si>
    <t>1920-1923:  Unpublished tables from the National Center for Health Statistics.</t>
  </si>
  <si>
    <t>1933-1936:  Unpublished tables from the National Center for Health Statistics.</t>
  </si>
  <si>
    <t>Table 4.4</t>
  </si>
  <si>
    <t>Live Birth Rates by Age of Mother</t>
  </si>
  <si>
    <t>Rate</t>
  </si>
  <si>
    <t>Table 4.5</t>
  </si>
  <si>
    <t>Diphtheria</t>
  </si>
  <si>
    <t>Measles</t>
  </si>
  <si>
    <t>Polio</t>
  </si>
  <si>
    <t>Syphilis</t>
  </si>
  <si>
    <t>Gonorrhea</t>
  </si>
  <si>
    <t xml:space="preserve">--- </t>
  </si>
  <si>
    <t>Population</t>
  </si>
  <si>
    <t>Whooping Cough</t>
  </si>
  <si>
    <t>Table 4.6</t>
  </si>
  <si>
    <t xml:space="preserve">*  </t>
  </si>
  <si>
    <t>No.</t>
  </si>
  <si>
    <t>Table 4.8</t>
  </si>
  <si>
    <t>Atherosclerosis</t>
  </si>
  <si>
    <t xml:space="preserve">* </t>
  </si>
  <si>
    <t>Stroke</t>
  </si>
  <si>
    <t xml:space="preserve"> Divorces</t>
  </si>
  <si>
    <t>&lt; 1 Year</t>
  </si>
  <si>
    <t>&lt; 28 Days</t>
  </si>
  <si>
    <t>Population, Live Births, Deaths, Marriages and Divorces,</t>
  </si>
  <si>
    <t>Not Stated</t>
  </si>
  <si>
    <t>Acquired Immune Deficiency Syndrome</t>
  </si>
  <si>
    <t>Tuberculosis (All Forms)</t>
  </si>
  <si>
    <t>Typhoid Fever</t>
  </si>
  <si>
    <t>TB of the Respiratory System</t>
  </si>
  <si>
    <t>Heart Disease</t>
  </si>
  <si>
    <t>Cancer (all Forms)</t>
  </si>
  <si>
    <t>Motor Vehicle Accidents</t>
  </si>
  <si>
    <t>Pneumonia &amp; Influenza</t>
  </si>
  <si>
    <t>Chronic Liver Disease &amp; Cirrhosis</t>
  </si>
  <si>
    <t>Note:  Deaths are exclusive of fetal deaths.  Perinatal deaths include deaths under 1 week and fetal deaths.  Divorces include annulments.  1971-1979 population estimates have been revised by the U.S. Census Bureau.  1980-1990 population estimates have been revised by the Department of Management &amp; Budget in February, 1996.  1991-1998 population estimates have been revised by the Department of Management &amp; Budget in September, 1999.  For years prior to 1950 deaths under 1 month of age are included in deaths under 28 days.  1974 divorce data is an estimate.</t>
  </si>
  <si>
    <t>Note:  Birth rate, death rate for all ages, rate of persons married and rate of persons divorced per 1,000 population.  Fetal death ratio, mortality rates for deaths under 1 year, under 28 days, and from 28 - 364 days per 1,000 live births.  Maternal mortality rate is per 100,000 live births.  Perinatal mortality rate per 1,000 live births and fetal deaths.  1971 - 1998 birth, death, marriage and divorce rates have been recalculated using revised population estimates.  1971 - 1979 population estimates have been revised by the U.S. Census Bureau.  1980 - 1990 population estimates have been revised by the Department of Management &amp; Budget in Febraury, 1996.  1991 - 1998 population estimates have been revised by the Department of Management &amp; Budget in September, 1999.  For years prior to 1950 deaths under 1 month of age are included in deaths under 28 days.  1974 divorce data is an estimate.</t>
  </si>
  <si>
    <t>Total Fertility Rate</t>
  </si>
  <si>
    <t>Note:  Effective January 1975, a new diagnostic classification system for tuberculosis was adopted.  As a result, case counts and rates prior to 1975 are not directly comparable to the figures in 1975 and later years.  Meningoccal infections prior to 1952 data were for meningococcic meningitis.  Starting with 1992 data, syphilis counts represent only primary and secondary cases.  Prior to 1992, syphilis counts included early latent cases.</t>
  </si>
  <si>
    <t>Note:   Rates are per 100,000 population.  1980 - 1998 population estimates have been revised by the Department of Management &amp; Budget, September, 199.  Effective January, 1975, a new diagnostic classification system for tuberculosis was adopted.  As a result, case counts and rates prior to 1975 are not directly comparable to the figures in 1975 and later years.  Meningococcal infections prior to 1952 data were for meningococcic meningitis.  Starting with 1992 data, syphilis counts represent only primary and secondary cases.  Prior to 1992 syphilis counts included early latent cases.  Asterisk (*) indicates that data do not meet standards of precision or reliability.</t>
  </si>
  <si>
    <t>The comparability ratio results from double-coding a large sample of the national mortality file, once by the old revision (ICD-9) and again by the new revision (ICD-10), and expressing the results of the comparison as a ratio of deaths for a cause of death by the later revision divided by the number of that cause of death coded and classified by the earlier revision.</t>
  </si>
  <si>
    <t>Underlying Cause of Death:  The underlying cause of death is the condition giving rise to the chain of events leading to death.  Between January 1, 1979 and December 31, 1998, the underlying causes of death were classified in accordance with the Ninth Revision of the International Classification of Diseases (ICD-9), a coding structure developed by the World Health Organization (WHO).  Starting January 1, 1999, causes of death were classified using the Tenth Revision of the International Classification of Diseases (ICD-10).  Because the underlying cause of death is classified differently between revisions, health statistics based on one revision are not directly comparable to the other revision without the use of the comparability ratio.</t>
  </si>
  <si>
    <r>
      <t>Number of Deaths and Death Rates</t>
    </r>
    <r>
      <rPr>
        <b/>
        <vertAlign val="superscript"/>
        <sz val="12"/>
        <rFont val="Arial"/>
        <family val="2"/>
      </rPr>
      <t xml:space="preserve">  </t>
    </r>
    <r>
      <rPr>
        <b/>
        <sz val="12"/>
        <rFont val="Arial"/>
        <family val="2"/>
      </rPr>
      <t>by Specified Causes</t>
    </r>
  </si>
  <si>
    <r>
      <t xml:space="preserve">1924-1932:  Bureau of the Census publication, </t>
    </r>
    <r>
      <rPr>
        <u/>
        <sz val="12"/>
        <rFont val="Arial"/>
        <family val="2"/>
      </rPr>
      <t>Birth, Stillbirth and Infant Mortality Statistics for Birth. Registration Areas of the United States.</t>
    </r>
  </si>
  <si>
    <r>
      <t xml:space="preserve">1937-1949:  Bureau of the Census publication, </t>
    </r>
    <r>
      <rPr>
        <u/>
        <sz val="12"/>
        <rFont val="Arial"/>
        <family val="2"/>
      </rPr>
      <t>Vital Statistics of the United States</t>
    </r>
    <r>
      <rPr>
        <sz val="12"/>
        <rFont val="Arial"/>
        <family val="2"/>
      </rPr>
      <t xml:space="preserve"> series.</t>
    </r>
  </si>
  <si>
    <r>
      <t xml:space="preserve">1950-1959:  Department of Health Education and Welfare publication, </t>
    </r>
    <r>
      <rPr>
        <u/>
        <sz val="12"/>
        <rFont val="Arial"/>
        <family val="2"/>
      </rPr>
      <t>Vital Statistics of the United States</t>
    </r>
    <r>
      <rPr>
        <sz val="12"/>
        <rFont val="Arial"/>
        <family val="2"/>
      </rPr>
      <t xml:space="preserve"> series.</t>
    </r>
  </si>
  <si>
    <t>Live Birth Rates, Death Rates, Fetal Death Ratios, Marriage and Divorce Rates,</t>
  </si>
  <si>
    <t>Note:  Rates are per 100,000 population. 1980 - 1999 population estimates have been revised by the Department of Management &amp; Budget.  Cancer includes leukemias, aleukemias, and Hodgkin's disease beginning with 1921.  Stroke was called Cerebrovascular disease between 1969 - 1995 and Vascular Lesions Affecting Central Nervous System prior to 1968.  Accidents included Motor Vehicle Accidents.  Accidents exclude injuries undetermined whether accidentally or purposely inflicted since 1968.  Motor vehicle accidents do not include collision with heavier vehicles from 1910 through 1922.  Motorcycle accidents are included beginning in 1923.  Chronic liver disease and cirrhosis was called Cirrhosis of the Liver prior to 1979.  Atherosclerosis was called General Arteriosclerosis prior to 1968 and was called Arteriosclerosis from 1968 - 1978.</t>
  </si>
  <si>
    <t>Diabetes Mellitus</t>
  </si>
  <si>
    <t>Table 4.9</t>
  </si>
  <si>
    <t>Selected Vital Statistics by County</t>
  </si>
  <si>
    <t>Area</t>
  </si>
  <si>
    <t>Population Estimate</t>
  </si>
  <si>
    <t>Low Weight Live Births</t>
  </si>
  <si>
    <t>Infant Deaths</t>
  </si>
  <si>
    <t>Neonatal Deaths</t>
  </si>
  <si>
    <t>Perinatal Deaths</t>
  </si>
  <si>
    <t>Fetals Deaths</t>
  </si>
  <si>
    <t>Divorces</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</si>
  <si>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</si>
  <si>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</si>
  <si>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</si>
  <si>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</si>
  <si>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</si>
  <si>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</si>
  <si>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</si>
  <si>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</si>
  <si>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</si>
  <si>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</si>
  <si>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</si>
  <si>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</si>
  <si>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</si>
  <si>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</si>
  <si>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</si>
  <si>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</si>
  <si>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</si>
  <si>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</si>
  <si>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</si>
  <si>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</si>
  <si>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</si>
  <si>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</si>
  <si>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</si>
  <si>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</si>
  <si>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</si>
  <si>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</si>
  <si>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</si>
  <si>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</si>
  <si>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</si>
  <si>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</si>
  <si>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</si>
  <si>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</si>
  <si>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</si>
  <si>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</si>
  <si>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</si>
  <si>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</si>
  <si>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</si>
  <si>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</si>
  <si>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</si>
  <si>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</si>
  <si>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</si>
  <si>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</si>
  <si>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</si>
  <si>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</si>
  <si>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</si>
  <si>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</si>
  <si>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</si>
  <si>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</si>
  <si>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</si>
  <si>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</si>
  <si>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</si>
  <si>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</si>
  <si>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</si>
  <si>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</si>
  <si>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</si>
  <si>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</si>
  <si>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</si>
  <si>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</si>
  <si>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</si>
  <si>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</si>
  <si>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</si>
  <si>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</si>
  <si>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</si>
  <si>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</si>
  <si>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</si>
  <si>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</si>
  <si>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</si>
  <si>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</si>
  <si>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</si>
  <si>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</si>
  <si>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</si>
  <si>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</si>
  <si>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</si>
  <si>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</si>
  <si>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</si>
  <si>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</si>
  <si>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</si>
  <si>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</si>
  <si>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</si>
  <si>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</si>
  <si>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</si>
  <si>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</si>
  <si>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</si>
  <si>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Unknown</t>
  </si>
  <si>
    <t>Table 4.10</t>
  </si>
  <si>
    <t>Selected Vital Statistics Rates by County</t>
  </si>
  <si>
    <t>Table 4.11</t>
  </si>
  <si>
    <t>Live Births with Selected Risk Factors by County</t>
  </si>
  <si>
    <t>Medical Risk Factor Present</t>
  </si>
  <si>
    <t>Complications of Labor/Delivery</t>
  </si>
  <si>
    <t>Abnormal Conditions of Newborn</t>
  </si>
  <si>
    <t>Mother Smoked While Pregnant</t>
  </si>
  <si>
    <t>Mother Drank Alcohol While Pregnant</t>
  </si>
  <si>
    <t>%</t>
  </si>
  <si>
    <t>---</t>
  </si>
  <si>
    <t>Due to the implementation of the new birth certificate format mid-year 2007, a break in comparability has occurred for Medical Risk Factors, Complications of Labor and Delivery, Abnormal Conditions and Congenital Anomalies from the previous format. As a result of this break, trend analysis of this data to previous years is not recommended.</t>
  </si>
  <si>
    <t>Note:  Examples of medical risk factors include: anemia, diabetes, hypertension, eclampsia, renal disease, maternal drug use.  Examples of complications of labor and/or delivery include: abruptio placenta, seizures during labor, dysfunctional labor, fetal distress, breech/malpresentation, cord prolapse.  Example of abnormal conditions of the newborn include: anemia, birth injury, fetal alcohol sundrome, hyaline membrane disease,siezures.  Congenital anomalies reported have increases due to a change in reporting procedures.  The Kessner Index is a classification of prenatal care based on the month of pregnancy prenatal care began, the number of prenatal visits and the length of pregnancy.  Asterisk (*) indicates that data do not meet the standards of reliability or precision.</t>
  </si>
  <si>
    <t>Congenital Anomalies Reported</t>
  </si>
  <si>
    <t>Inadequate Prenatal Care</t>
  </si>
  <si>
    <t>Mother's Education &lt; 12 Grade</t>
  </si>
  <si>
    <t>Mother &lt; 18 Years of Age</t>
  </si>
  <si>
    <t>Table 4.12</t>
  </si>
  <si>
    <t>Live Births by Age of Mother and County</t>
  </si>
  <si>
    <t>Total</t>
  </si>
  <si>
    <t>&lt;  15</t>
  </si>
  <si>
    <t>40+</t>
  </si>
  <si>
    <t>Table 4.13</t>
  </si>
  <si>
    <t>Vital Statistics for Residents of Selected Michigan Cities and Townships</t>
  </si>
  <si>
    <t>City/Township</t>
  </si>
  <si>
    <t>Number</t>
  </si>
  <si>
    <t>Allen Park</t>
  </si>
  <si>
    <t>Ann Arbor</t>
  </si>
  <si>
    <t>Battle Creek</t>
  </si>
  <si>
    <t>Bay City</t>
  </si>
  <si>
    <t>Bedford Twp</t>
  </si>
  <si>
    <t>Bloomfield Twp.</t>
  </si>
  <si>
    <t>Burton City</t>
  </si>
  <si>
    <t>Canton Twp.</t>
  </si>
  <si>
    <t>Chesterfield Twp</t>
  </si>
  <si>
    <t>Clinton Twp</t>
  </si>
  <si>
    <t>Commerce Twp</t>
  </si>
  <si>
    <t>Dearborn</t>
  </si>
  <si>
    <t>Dearborn Heights</t>
  </si>
  <si>
    <t>Delta Twp</t>
  </si>
  <si>
    <t>Detroit</t>
  </si>
  <si>
    <t>East Lansing</t>
  </si>
  <si>
    <t>Farmington Hills</t>
  </si>
  <si>
    <t>Ferndale</t>
  </si>
  <si>
    <t>Flint</t>
  </si>
  <si>
    <t>Flint Twp</t>
  </si>
  <si>
    <t>Garden City</t>
  </si>
  <si>
    <t>Georgetown Twp</t>
  </si>
  <si>
    <t>Grand Blanc Twp</t>
  </si>
  <si>
    <t>Grand Rapids</t>
  </si>
  <si>
    <t>Highland Park</t>
  </si>
  <si>
    <t>Holland</t>
  </si>
  <si>
    <t>Holland Twp</t>
  </si>
  <si>
    <t>Inkster</t>
  </si>
  <si>
    <t>Kentwood</t>
  </si>
  <si>
    <t>Lansing</t>
  </si>
  <si>
    <t>Lincoln Park</t>
  </si>
  <si>
    <t>Livonia</t>
  </si>
  <si>
    <t>Macomb Twp</t>
  </si>
  <si>
    <t>Madison Heights</t>
  </si>
  <si>
    <t>Meridian Twp</t>
  </si>
  <si>
    <t>Mount Morris Twp</t>
  </si>
  <si>
    <t>Mount Pleasant</t>
  </si>
  <si>
    <t>Novi City</t>
  </si>
  <si>
    <t>Oak Park</t>
  </si>
  <si>
    <t>Orion Twp.</t>
  </si>
  <si>
    <t>Pittsfield Twp.</t>
  </si>
  <si>
    <t>Plainfield Twp.</t>
  </si>
  <si>
    <t>Plymouth Twp.</t>
  </si>
  <si>
    <t>Pontiac</t>
  </si>
  <si>
    <t>Portage</t>
  </si>
  <si>
    <t>Port Huron</t>
  </si>
  <si>
    <t>Redford Twp</t>
  </si>
  <si>
    <t>Rochester Hills City</t>
  </si>
  <si>
    <t>Roseville</t>
  </si>
  <si>
    <t>Royal Oak</t>
  </si>
  <si>
    <t>Saginaw Twp</t>
  </si>
  <si>
    <t>St. Clair Shores</t>
  </si>
  <si>
    <t>Shelby Twp</t>
  </si>
  <si>
    <t>Southfield</t>
  </si>
  <si>
    <t>Southgate</t>
  </si>
  <si>
    <t>Sterling Heights</t>
  </si>
  <si>
    <t>Taylor</t>
  </si>
  <si>
    <t>Troy</t>
  </si>
  <si>
    <t>Warren</t>
  </si>
  <si>
    <t>Waterford Twp</t>
  </si>
  <si>
    <t>West Bloomfield Twp</t>
  </si>
  <si>
    <t>Westland</t>
  </si>
  <si>
    <t>White Lake Twp.</t>
  </si>
  <si>
    <t>Wyandotte</t>
  </si>
  <si>
    <t>Wyoming</t>
  </si>
  <si>
    <t>Ypsilanti Twp</t>
  </si>
  <si>
    <t>Note:  Cities and townships are selected with 25,000 population or over according to the 1980, 1990 or 2000 Census.</t>
  </si>
  <si>
    <t>Table 4.14</t>
  </si>
  <si>
    <t>Number of Deaths by Underlying Cause of Death and County</t>
  </si>
  <si>
    <t>All Causes</t>
  </si>
  <si>
    <t xml:space="preserve">  T.B.     (All Forms)</t>
  </si>
  <si>
    <t>All Other Infectious &amp; Parasitic Diseases</t>
  </si>
  <si>
    <t>Cancer</t>
  </si>
  <si>
    <t>Breast</t>
  </si>
  <si>
    <t>Genital Organs</t>
  </si>
  <si>
    <t>Urinary Organs</t>
  </si>
  <si>
    <t>Leukemia</t>
  </si>
  <si>
    <t>Other</t>
  </si>
  <si>
    <t>St. Clair</t>
  </si>
  <si>
    <t>St. Joseph</t>
  </si>
  <si>
    <t>Nutritional Deficiencies</t>
  </si>
  <si>
    <t>Major Cardiovascular Diseases</t>
  </si>
  <si>
    <t>Pneumonia and Influenza</t>
  </si>
  <si>
    <t>C.L.R.D. and Allied Diseases</t>
  </si>
  <si>
    <t>Ulcer of Stomach and Duodenum</t>
  </si>
  <si>
    <t>Diseases of the Heart</t>
  </si>
  <si>
    <t>Athero-sclerosis</t>
  </si>
  <si>
    <t>Other Diseases of Arteries, Arterioles, and Capillaries</t>
  </si>
  <si>
    <t>Kidney Disease</t>
  </si>
  <si>
    <t>Complications of Pregnancy, Childbirth and the Puerperium</t>
  </si>
  <si>
    <t>Congenital Anomalies</t>
  </si>
  <si>
    <t>Certain Conditions Originating in the Perinatal Period</t>
  </si>
  <si>
    <t>All Other Disease</t>
  </si>
  <si>
    <t>Unintentional Injuries</t>
  </si>
  <si>
    <t>Suicide</t>
  </si>
  <si>
    <t>Homicide and Legal Intervention</t>
  </si>
  <si>
    <t>All Other External Causes</t>
  </si>
  <si>
    <t>Motor Vehicle</t>
  </si>
  <si>
    <t>All Other</t>
  </si>
  <si>
    <t>Table 4.18</t>
  </si>
  <si>
    <t>Estimated Population By Age, Race and Sex</t>
  </si>
  <si>
    <t>State of Michigan Residents,</t>
  </si>
  <si>
    <t>All Races</t>
  </si>
  <si>
    <t>White</t>
  </si>
  <si>
    <t>Black</t>
  </si>
  <si>
    <t>American Indian</t>
  </si>
  <si>
    <t>Asian &amp; Pacific Islander</t>
  </si>
  <si>
    <t>Age Group</t>
  </si>
  <si>
    <t>Male</t>
  </si>
  <si>
    <t>Female</t>
  </si>
  <si>
    <t>Under 1</t>
  </si>
  <si>
    <t>1-4</t>
  </si>
  <si>
    <t>5-9</t>
  </si>
  <si>
    <t>45-49</t>
  </si>
  <si>
    <t>50-54</t>
  </si>
  <si>
    <t>55-59</t>
  </si>
  <si>
    <t>Note:  Birth and death rates are per 1,000 population. Infant and fetal death rates are per 1,000 live births. Marriage and Divorce rates are persons per 1,000 population rather than events per population.  Asterisk (*) indicates that data do not meet the standards of reliability or precision.</t>
  </si>
  <si>
    <t>(Heart Disease, Cancer(All Forms), Stroke, Accidents(All Forms), Motor Vehicle Accidents, Diabetes, Pneumonia &amp; Influenza, Chronic Liver Disease &amp; Cirrhosis, Atherosclerosis,</t>
  </si>
  <si>
    <t>Number of Deaths Due to Certain Communicable Diseases</t>
  </si>
  <si>
    <t>Strep Sore Throat Including Scarlet Fever</t>
  </si>
  <si>
    <t>Death Rates Due to Certain Communicable Diseases</t>
  </si>
  <si>
    <r>
      <t xml:space="preserve">Table 4.5 </t>
    </r>
    <r>
      <rPr>
        <sz val="12"/>
        <rFont val="Arial"/>
        <family val="2"/>
      </rPr>
      <t>Number of Deaths Due to Certain Communicable Diseases,</t>
    </r>
  </si>
  <si>
    <r>
      <t xml:space="preserve">Table 4.6 </t>
    </r>
    <r>
      <rPr>
        <sz val="12"/>
        <rFont val="Arial"/>
        <family val="2"/>
      </rPr>
      <t>Death Rates Due to Certain Communicable Diseases,</t>
    </r>
  </si>
  <si>
    <t>Michigan Residents, 1900 - 2013</t>
  </si>
  <si>
    <t>Michigan Residents, 1920 - 2013</t>
  </si>
  <si>
    <t>Michigan Residents, 2013</t>
  </si>
  <si>
    <t>Michigan Male Residents, 2013</t>
  </si>
  <si>
    <t>Michigan Female Residents, 2013</t>
  </si>
  <si>
    <t>Michigan White Residents, 2013</t>
  </si>
  <si>
    <t>Michigan Black Residents, 2013</t>
  </si>
  <si>
    <t>Michigan White Male Residents, 2013</t>
  </si>
  <si>
    <t>Michigan Black Male Residents, 2013</t>
  </si>
  <si>
    <t>Michigan White Female Residents, 2013</t>
  </si>
  <si>
    <t>Michigan Black Female Residents, 2013</t>
  </si>
  <si>
    <t>Michigan Residents, 1980 - 2013 &amp; United States Residents, 1980 - 2012</t>
  </si>
  <si>
    <t>Michigan Residents, 1980 - 2013</t>
  </si>
  <si>
    <t>Michigan Residents, 1987 - 2013 and United States Residents, 1987 - 2012</t>
  </si>
  <si>
    <t>Michigan Residents, 1987 - 2013</t>
  </si>
  <si>
    <t>Michigan Residents, 1990 - 2013 and United States Residents, 1994 - 2012</t>
  </si>
  <si>
    <t>Michigan Residents, 1990 - 2013</t>
  </si>
  <si>
    <t>Michigan Residents, 1990 - 2013 and United States Residents, 1990 - 2012</t>
  </si>
  <si>
    <t>Source: Michigan Resident Death Files, Division for Vital Records &amp; Health Statistics, Michigan Department of Health &amp; Human Services.</t>
  </si>
  <si>
    <t>Source:  Michigan Resident Death Files, Division for Vital Records &amp; Health Statistics, Michigan Department of Health &amp; Human Services.</t>
  </si>
  <si>
    <t>Note:  Total live births for the years 1920 through 1959 were derived from outside sources. Live births by age of mother were not tabulated in Michigan prior to 1960.  These data were obtained from the following sources:</t>
  </si>
  <si>
    <t>Note:  Live birth rates are per 1,000 women per year. 1980-1999 poulation estimates have been revised by the Department of Management &amp; Budget. Total fertility rate is total children to 1,000 women in their lifetime assuming constant live birth rates.  Rates of live births to women aged 45 and over are per 1,000 women 45-49 years of age. Asterisk (*) indicates that data do not meet the standards of precision or reliability.</t>
  </si>
  <si>
    <t>Source: Total live births for the years 1920 through 1959 were derived from outside sources. Live births by age of mother were not tabulated in Michigan prior to 1960. These data were obtained from the following sources:</t>
  </si>
  <si>
    <t>1920-1923: Unpublished tables from the National Center for Health Statistics.</t>
  </si>
  <si>
    <t>1924-1932: Bureau of the Census publication, Birth, Stillbirth and Infant Mortality Statistics for Birth. Registration Areas of the United States.</t>
  </si>
  <si>
    <t>1933-1936: Unpublished tables from the National Center for Health Statistics.</t>
  </si>
  <si>
    <t>1937-1949: Bureau of the Census publication, Vital Statistics of the United States series.</t>
  </si>
  <si>
    <t>1950-1959: Department of Health Education and Welfare publication, Vital Statistics of the United States series.</t>
  </si>
  <si>
    <t>1960-2013 Michigan Resident Birth Files, Division for Vital Records &amp; Health Statistics, Michigan Department of Health &amp; Human Services.</t>
  </si>
  <si>
    <t>Source:  1900-2013 Michigan Resident Birth, Death and Fetal Death Files and Michigan Occurrence Marriage and Divorce Files, Division for Vital Records and Health Statistics, Michigan Department of Health &amp; Human Services.</t>
  </si>
  <si>
    <t>Source: 1900-2013 Michigan Resident Birth, Death and Fetal Death Files and Michigan Occurrence Marriage and Divorce Files, Vital Records and Health Statistics, Michigan Department of Health &amp; Human Services.</t>
  </si>
  <si>
    <r>
      <t xml:space="preserve">Table 4.4 </t>
    </r>
    <r>
      <rPr>
        <sz val="12"/>
        <rFont val="Arial"/>
        <family val="2"/>
      </rPr>
      <t>Live Birth Rates by Age of Mother,</t>
    </r>
  </si>
  <si>
    <r>
      <t xml:space="preserve">Table 4.9 </t>
    </r>
    <r>
      <rPr>
        <sz val="12"/>
        <rFont val="Arial"/>
        <family val="2"/>
      </rPr>
      <t>Selected Vital Statistics by County,</t>
    </r>
  </si>
  <si>
    <r>
      <t xml:space="preserve">Table 4.10 </t>
    </r>
    <r>
      <rPr>
        <sz val="12"/>
        <rFont val="Arial"/>
        <family val="2"/>
      </rPr>
      <t>Selected Vital Statistics Rates by County,</t>
    </r>
  </si>
  <si>
    <r>
      <t xml:space="preserve">Table 4.11 </t>
    </r>
    <r>
      <rPr>
        <sz val="12"/>
        <rFont val="Arial"/>
        <family val="2"/>
      </rPr>
      <t>Live Births with Selected Risk Factors by County,</t>
    </r>
  </si>
  <si>
    <r>
      <t xml:space="preserve">Table 4.12 </t>
    </r>
    <r>
      <rPr>
        <sz val="12"/>
        <rFont val="Arial"/>
        <family val="2"/>
      </rPr>
      <t>Live Births by Age of Mother and County,</t>
    </r>
  </si>
  <si>
    <r>
      <t xml:space="preserve">Table 4.13 </t>
    </r>
    <r>
      <rPr>
        <sz val="12"/>
        <rFont val="Arial"/>
        <family val="2"/>
      </rPr>
      <t>Vital Statistics for Residents of Selected Michigan Cities and Townships,</t>
    </r>
  </si>
  <si>
    <r>
      <t xml:space="preserve">Table 4.14 </t>
    </r>
    <r>
      <rPr>
        <sz val="12"/>
        <rFont val="Arial"/>
        <family val="2"/>
      </rPr>
      <t>Number of Deaths by Underlying Cause of Death and County,</t>
    </r>
  </si>
  <si>
    <r>
      <t xml:space="preserve">Table 4.18 </t>
    </r>
    <r>
      <rPr>
        <sz val="12"/>
        <rFont val="Arial"/>
        <family val="2"/>
      </rPr>
      <t>Estimated Population By Age, Race and Sex,</t>
    </r>
  </si>
  <si>
    <r>
      <t>Table 4.41</t>
    </r>
    <r>
      <rPr>
        <sz val="12"/>
        <rFont val="Arial"/>
        <family val="2"/>
      </rPr>
      <t xml:space="preserve"> Population by Age and County of Residence,</t>
    </r>
  </si>
  <si>
    <r>
      <t xml:space="preserve">Table 4.42 </t>
    </r>
    <r>
      <rPr>
        <sz val="12"/>
        <rFont val="Arial"/>
        <family val="2"/>
      </rPr>
      <t>Deaths by Age and County of Residence,</t>
    </r>
  </si>
  <si>
    <r>
      <t>Table 4.43</t>
    </r>
    <r>
      <rPr>
        <sz val="12"/>
        <rFont val="Arial"/>
        <family val="2"/>
      </rPr>
      <t xml:space="preserve"> Live Births by Race, Ancestry and County of Residence,</t>
    </r>
  </si>
  <si>
    <r>
      <t>Table 4.44</t>
    </r>
    <r>
      <rPr>
        <sz val="12"/>
        <rFont val="Arial"/>
        <family val="2"/>
      </rPr>
      <t xml:space="preserve"> Deaths by Race, Ancestry and County of Residence,</t>
    </r>
  </si>
  <si>
    <t>Source: 1900-2013 Michigan Resident Death Files, Division for Vital Records &amp; Health Statistics, Michigan Department of Health &amp; Human Services.</t>
  </si>
  <si>
    <t>Source:  2013 Michigan Resident Death, Birth and Fetal Death Files and Occurrence Marriage and Divorce Files, Division for Vital Records &amp; Health Statistics, Michigan Department of Health &amp; Human Services.</t>
  </si>
  <si>
    <t>Source:  2013 Michigan Resident Birth File, Division for Vital Records &amp; Health Statistics, Michigan Department of Health &amp; Human Services.</t>
  </si>
  <si>
    <t>Source:  2013 Michigan Resident Birth and Death Files, Division for Vital Records &amp; Health Statistics, Michigan Department of Health &amp; Human Services.</t>
  </si>
  <si>
    <t>Source:  2013 Michigan Resident Death File, Division for Vital Records &amp; Health Statistics, Michigan Department of Health &amp; Human Services.</t>
  </si>
  <si>
    <t>Source:  1980-2013 Michigan Resident Death Files, Division for Vital Records &amp; Health Statistics, Michigan Department of Health &amp; Human Services.</t>
  </si>
  <si>
    <t>Source:  1987-2013 Michigan Resident Death Files, Division for Vital Records &amp; Health Statistics, Michigan Department of Health &amp; Human Services.</t>
  </si>
  <si>
    <t>Source:  1990-2013 Michigan Resident Death Files, Division for Vital Records &amp; Health Statistics, Michigan Department of Health &amp; Human Services.</t>
  </si>
  <si>
    <t>Septicemia</t>
  </si>
  <si>
    <t>Gastrointestinal Tract &amp; Digestive System</t>
  </si>
  <si>
    <t>Respiratory System &amp; Pleura</t>
  </si>
  <si>
    <t>In particular, cancer deaths were grouped as follows:</t>
  </si>
  <si>
    <t>All Cancer: C000-C970</t>
  </si>
  <si>
    <t>Cancer of Gastrointestinal Tract &amp; Digestive System: C000-C260, C268-C269, C451, C480-C489</t>
  </si>
  <si>
    <t>Cancer of Respiratory System &amp; Pleura:  C300-C349, C381-C399, C450</t>
  </si>
  <si>
    <t>Cancer of the Breast:  C500-C509</t>
  </si>
  <si>
    <t>Cancer of Genitourinary Organs: C510-C589, C600-C639</t>
  </si>
  <si>
    <t>Cancer of Urinary Organs: C640-C689</t>
  </si>
  <si>
    <t>Leukemias: C901, C910-C959</t>
  </si>
  <si>
    <t>Note: Data displayed are by the underlying cause of death which is the condition giving rise to the chain of events leading to death. Causes of death are classified in accordance with the Tenth Revision of the International Classifications of Diseases (ICD-10), a coding structure developed by the World Health Organization. This revision has been used to classify deaths occurring on or after January 1, 1999. The ICD-10 codes are grouped into broader categories for the causes listed in this table in order to classify these selected causes of death.</t>
  </si>
  <si>
    <t>Symptoms, Signs and ill-defined Conditions (including SIDS)</t>
  </si>
  <si>
    <t>Hypertension with Renal Disease</t>
  </si>
  <si>
    <t>1960-2013 Michigan Resident Birth Files. Division for Vital Records &amp; Health Statistics, Michigan Department of Health &amp; Human Services.</t>
  </si>
  <si>
    <t>Accidents               (all Forms)</t>
  </si>
  <si>
    <t>Source: Division for Vital Records &amp; Health Statistics, Michigan Department of Health &amp; Human Services; Population Estimate (latest update 9/2014), National Center for Health Statistics, U.S. Census Populations With Bridged Race Categories.</t>
  </si>
  <si>
    <r>
      <rPr>
        <b/>
        <sz val="11"/>
        <rFont val="Arial"/>
        <family val="2"/>
      </rPr>
      <t>Note:</t>
    </r>
    <r>
      <rPr>
        <sz val="11"/>
        <rFont val="Arial"/>
        <family val="2"/>
      </rPr>
      <t xml:space="preserve">  Life expectancy is a hypothetical calculation of the average age at death for a cohort of persons subject to the age-specific mortality rates observed over a given time period.</t>
    </r>
  </si>
  <si>
    <t>Life Table Values are:</t>
  </si>
  <si>
    <r>
      <t xml:space="preserve">nqx = </t>
    </r>
    <r>
      <rPr>
        <sz val="11"/>
        <rFont val="Arial"/>
        <family val="2"/>
      </rPr>
      <t>The proportion of persons in the cohort alive at the beginning of an age interval (x) who will die before reaching the end of that age interval (x+n).</t>
    </r>
  </si>
  <si>
    <r>
      <t xml:space="preserve">lx = </t>
    </r>
    <r>
      <rPr>
        <sz val="11"/>
        <rFont val="Arial"/>
        <family val="2"/>
      </rPr>
      <t>The number of persons living at the beginning of an age interval (x) out of an original cohort of 100,000.</t>
    </r>
  </si>
  <si>
    <r>
      <t xml:space="preserve">ndx = </t>
    </r>
    <r>
      <rPr>
        <sz val="11"/>
        <rFont val="Arial"/>
        <family val="2"/>
      </rPr>
      <t>The number of persons who would die during an age interval (x to x+n) out of an original cohort of 100,000.</t>
    </r>
  </si>
  <si>
    <r>
      <t xml:space="preserve">nLx = </t>
    </r>
    <r>
      <rPr>
        <sz val="11"/>
        <rFont val="Arial"/>
        <family val="2"/>
      </rPr>
      <t>The number of person-years that would be lived within an indicated age interval (x to x+n) out of an original cohort of 100,000 alive for all or part of the interval.</t>
    </r>
  </si>
  <si>
    <r>
      <t xml:space="preserve">Tx = </t>
    </r>
    <r>
      <rPr>
        <sz val="11"/>
        <rFont val="Arial"/>
        <family val="2"/>
      </rPr>
      <t>The number of person-years that would be lived after the beginning of an age interval (x) by an original cohort of 100,000 until we are assumed to have died.</t>
    </r>
  </si>
  <si>
    <r>
      <t xml:space="preserve">ex = </t>
    </r>
    <r>
      <rPr>
        <sz val="11"/>
        <rFont val="Arial"/>
        <family val="2"/>
      </rPr>
      <t>The average remaining lifetime (in years) for an individual person who survives to the beginning of an indicated age interval (x).</t>
    </r>
  </si>
  <si>
    <r>
      <rPr>
        <b/>
        <sz val="11"/>
        <rFont val="Arial"/>
        <family val="2"/>
      </rPr>
      <t>Source:</t>
    </r>
    <r>
      <rPr>
        <sz val="11"/>
        <rFont val="Arial"/>
        <family val="2"/>
      </rPr>
      <t xml:space="preserve"> 2013 Michigan Resident Death Files, Division for Vital Records &amp; Health Statistics, Michigan Department of Health &amp; Human Services.</t>
    </r>
  </si>
  <si>
    <t>Source:  Division for Vital Records &amp; Health Statistics, Michigan Department of Health &amp; Human Services; Population Estimate (latest update 9/2014), National Center for Health Statistics, U.S. Census Populations With Bridged Race Categories.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</si>
</sst>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General_)"/>
    <numFmt numFmtId="165" formatCode="dd\-mmm\-yy_)"/>
    <numFmt numFmtId="166" formatCode="0.0_)"/>
    <numFmt numFmtId="167" formatCode="#,##0.0_);\(#,##0.0\)"/>
    <numFmt numFmtId="168" formatCode="0.0"/>
    <numFmt numFmtId="169" formatCode="#,##0.0"/>
    <numFmt numFmtId="170" formatCode="#,##0.00000_);\(#,##0.00000\)"/>
    <numFmt numFmtId="171" formatCode="#,##0.000_);\(#,##0.000\)"/>
  </numFmts>
  <fonts count="18">
    <font>
      <sz val="10"/>
      <name val="CG Times (W1)"/>
    </font>
    <font>
      <b/>
      <sz val="12"/>
      <color indexed="10"/>
      <name val="Arial"/>
      <family val="2"/>
    </font>
    <font>
      <sz val="12"/>
      <name val="Arial"/>
      <family val="2"/>
    </font>
    <font>
      <b/>
      <sz val="12"/>
      <name val="Arial"/>
      <family val="2"/>
    </font>
    <font>
      <b/>
      <vertAlign val="superscript"/>
      <sz val="12"/>
      <name val="Arial"/>
      <family val="2"/>
    </font>
    <font>
      <sz val="12"/>
      <name val="CG Times (W1)"/>
    </font>
    <font>
      <sz val="11"/>
      <name val="Arial"/>
      <family val="2"/>
    </font>
    <font>
      <sz val="11"/>
      <name val="CG Times (W1)"/>
    </font>
    <font>
      <u/>
      <sz val="12"/>
      <name val="Arial"/>
      <family val="2"/>
    </font>
    <font>
      <sz val="12"/>
      <name val="Arial"/>
      <family val="2"/>
    </font>
    <font>
      <sz val="8"/>
      <name val="CG Times (W1)"/>
    </font>
    <font>
      <sz val="12"/>
      <color indexed="10"/>
      <name val="Arial"/>
      <family val="2"/>
    </font>
    <font>
      <sz val="10"/>
      <name val="Arial"/>
      <family val="2"/>
    </font>
    <font>
      <vertAlign val="superscript"/>
      <sz val="12"/>
      <name val="Arial"/>
      <family val="2"/>
    </font>
    <font>
      <sz val="12"/>
      <color rgb="FFFF0000"/>
      <name val="Arial"/>
      <family val="2"/>
    </font>
    <font>
      <sz val="14"/>
      <name val="Arial"/>
      <family val="2"/>
    </font>
    <font>
      <b/>
      <sz val="14"/>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58">
    <xf numFmtId="0" fontId="0" fillId="0" borderId="0" xfId="0"/>
    <xf numFmtId="0" fontId="1" fillId="0" borderId="0" xfId="0" applyFont="1"/>
    <xf numFmtId="0" fontId="2" fillId="0" borderId="0" xfId="0" applyFont="1"/>
    <xf numFmtId="0" fontId="2" fillId="0" borderId="0" xfId="0" applyFont="1" applyAlignment="1" applyProtection="1">
      <alignment horizontal="centerContinuous"/>
    </xf>
    <xf numFmtId="0" fontId="2" fillId="0" borderId="0" xfId="0" applyFont="1" applyAlignment="1">
      <alignment horizontal="centerContinuous"/>
    </xf>
    <xf numFmtId="0" fontId="3" fillId="0" borderId="0" xfId="0" applyFont="1" applyAlignment="1" applyProtection="1">
      <alignment horizontal="centerContinuous"/>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3" fontId="2" fillId="0" borderId="3" xfId="0" applyNumberFormat="1" applyFont="1" applyBorder="1" applyAlignment="1" applyProtection="1"/>
    <xf numFmtId="168" fontId="2" fillId="0" borderId="3" xfId="0" applyNumberFormat="1" applyFont="1" applyBorder="1" applyAlignment="1" applyProtection="1"/>
    <xf numFmtId="0" fontId="2" fillId="0" borderId="3" xfId="0" applyFont="1" applyBorder="1"/>
    <xf numFmtId="3" fontId="2" fillId="0" borderId="3" xfId="0" applyNumberFormat="1" applyFont="1" applyBorder="1" applyAlignment="1"/>
    <xf numFmtId="168" fontId="2" fillId="0" borderId="3" xfId="0" applyNumberFormat="1" applyFont="1" applyBorder="1" applyAlignment="1"/>
    <xf numFmtId="0" fontId="2" fillId="0" borderId="0" xfId="0" applyFont="1" applyBorder="1"/>
    <xf numFmtId="3" fontId="2" fillId="0" borderId="1" xfId="0" applyNumberFormat="1" applyFont="1" applyBorder="1" applyAlignment="1" applyProtection="1"/>
    <xf numFmtId="0" fontId="2" fillId="0" borderId="0" xfId="0" applyFont="1" applyBorder="1" applyAlignment="1" applyProtection="1">
      <alignment horizontal="center"/>
    </xf>
    <xf numFmtId="37" fontId="2" fillId="0" borderId="0" xfId="0" applyNumberFormat="1" applyFont="1" applyBorder="1"/>
    <xf numFmtId="0" fontId="2" fillId="0" borderId="5" xfId="0" applyFont="1" applyBorder="1" applyAlignment="1">
      <alignment horizontal="centerContinuous" vertical="center"/>
    </xf>
    <xf numFmtId="0" fontId="2" fillId="0" borderId="5" xfId="0" applyFont="1" applyBorder="1" applyAlignment="1">
      <alignment horizontal="centerContinuous" vertical="center" wrapText="1"/>
    </xf>
    <xf numFmtId="0" fontId="2" fillId="0" borderId="6" xfId="0" applyFont="1" applyBorder="1" applyAlignment="1" applyProtection="1">
      <alignment horizontal="center"/>
    </xf>
    <xf numFmtId="0" fontId="2" fillId="0" borderId="4" xfId="0" applyFont="1" applyBorder="1" applyAlignment="1">
      <alignment horizontal="centerContinuous" vertical="center" wrapText="1"/>
    </xf>
    <xf numFmtId="3" fontId="2" fillId="0" borderId="7" xfId="0" applyNumberFormat="1" applyFont="1" applyBorder="1" applyAlignment="1" applyProtection="1"/>
    <xf numFmtId="168" fontId="2" fillId="0" borderId="7" xfId="0" applyNumberFormat="1" applyFont="1" applyBorder="1" applyAlignment="1" applyProtection="1"/>
    <xf numFmtId="3" fontId="2" fillId="0" borderId="7" xfId="0" applyNumberFormat="1" applyFont="1" applyBorder="1" applyAlignment="1"/>
    <xf numFmtId="168" fontId="2" fillId="0" borderId="7" xfId="0" applyNumberFormat="1" applyFont="1" applyBorder="1" applyAlignment="1"/>
    <xf numFmtId="168" fontId="2" fillId="0" borderId="7" xfId="0" quotePrefix="1" applyNumberFormat="1" applyFont="1" applyBorder="1" applyAlignment="1" applyProtection="1">
      <alignment horizontal="right"/>
    </xf>
    <xf numFmtId="168" fontId="2" fillId="0" borderId="7" xfId="0" applyNumberFormat="1" applyFont="1" applyBorder="1" applyAlignment="1" applyProtection="1">
      <alignment horizontal="center"/>
    </xf>
    <xf numFmtId="168" fontId="2" fillId="0" borderId="7" xfId="0" applyNumberFormat="1" applyFont="1" applyBorder="1" applyAlignment="1" applyProtection="1">
      <alignment horizontal="right"/>
    </xf>
    <xf numFmtId="3" fontId="2" fillId="0" borderId="3" xfId="0" quotePrefix="1" applyNumberFormat="1" applyFont="1" applyBorder="1" applyAlignment="1" applyProtection="1">
      <alignment horizontal="right"/>
    </xf>
    <xf numFmtId="168" fontId="2" fillId="0" borderId="1" xfId="0" quotePrefix="1" applyNumberFormat="1" applyFont="1" applyBorder="1" applyAlignment="1" applyProtection="1">
      <alignment horizontal="right"/>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lignment horizontal="center" vertical="center"/>
    </xf>
    <xf numFmtId="0" fontId="5" fillId="0" borderId="0" xfId="0" applyFont="1"/>
    <xf numFmtId="37" fontId="2" fillId="0" borderId="0" xfId="0" applyNumberFormat="1" applyFont="1"/>
    <xf numFmtId="0" fontId="2" fillId="0" borderId="4" xfId="0" applyFont="1" applyBorder="1" applyAlignment="1" applyProtection="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quotePrefix="1" applyFont="1" applyBorder="1" applyAlignment="1" applyProtection="1">
      <alignment horizontal="center"/>
    </xf>
    <xf numFmtId="169" fontId="2" fillId="0" borderId="7" xfId="0" applyNumberFormat="1" applyFont="1" applyBorder="1" applyAlignment="1" applyProtection="1"/>
    <xf numFmtId="169" fontId="2" fillId="0" borderId="7" xfId="0" applyNumberFormat="1" applyFont="1" applyBorder="1" applyAlignment="1"/>
    <xf numFmtId="0" fontId="2" fillId="0" borderId="0" xfId="0" applyFont="1" applyAlignment="1"/>
    <xf numFmtId="166" fontId="2" fillId="0" borderId="7" xfId="0" applyNumberFormat="1" applyFont="1" applyBorder="1" applyProtection="1"/>
    <xf numFmtId="166" fontId="2" fillId="0" borderId="7" xfId="0" applyNumberFormat="1" applyFont="1" applyBorder="1" applyAlignment="1" applyProtection="1">
      <alignment horizontal="center"/>
    </xf>
    <xf numFmtId="167" fontId="2" fillId="0" borderId="7" xfId="0" applyNumberFormat="1" applyFont="1" applyBorder="1" applyProtection="1"/>
    <xf numFmtId="37" fontId="2" fillId="0" borderId="3" xfId="0" applyNumberFormat="1" applyFont="1" applyBorder="1"/>
    <xf numFmtId="37" fontId="2" fillId="0" borderId="3" xfId="0" applyNumberFormat="1" applyFont="1" applyBorder="1" applyAlignment="1">
      <alignment horizontal="center"/>
    </xf>
    <xf numFmtId="0" fontId="5" fillId="0" borderId="3" xfId="0" applyFont="1" applyBorder="1"/>
    <xf numFmtId="37" fontId="2" fillId="0" borderId="7" xfId="0" applyNumberFormat="1" applyFont="1" applyBorder="1" applyAlignment="1" applyProtection="1"/>
    <xf numFmtId="37" fontId="2" fillId="0" borderId="6" xfId="0" applyNumberFormat="1" applyFont="1" applyBorder="1" applyAlignment="1" applyProtection="1">
      <alignment horizontal="center" vertical="center"/>
    </xf>
    <xf numFmtId="0" fontId="2" fillId="0" borderId="6" xfId="0" quotePrefix="1" applyFont="1" applyBorder="1" applyAlignment="1" applyProtection="1">
      <alignment horizontal="center" vertical="center" wrapText="1"/>
    </xf>
    <xf numFmtId="168" fontId="2" fillId="0" borderId="7" xfId="0" quotePrefix="1" applyNumberFormat="1" applyFont="1" applyBorder="1" applyAlignment="1" applyProtection="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8" xfId="0" applyFont="1" applyBorder="1" applyAlignment="1">
      <alignment horizontal="centerContinuous"/>
    </xf>
    <xf numFmtId="3" fontId="2" fillId="0" borderId="7" xfId="0" quotePrefix="1" applyNumberFormat="1" applyFont="1" applyBorder="1" applyAlignment="1" applyProtection="1"/>
    <xf numFmtId="3" fontId="2" fillId="0" borderId="7" xfId="0" applyNumberFormat="1" applyFont="1" applyBorder="1"/>
    <xf numFmtId="3" fontId="2" fillId="0" borderId="7" xfId="0" applyNumberFormat="1" applyFont="1" applyBorder="1" applyProtection="1"/>
    <xf numFmtId="0" fontId="3" fillId="0" borderId="0" xfId="0" applyFont="1" applyAlignment="1">
      <alignment horizontal="centerContinuous"/>
    </xf>
    <xf numFmtId="168" fontId="2" fillId="0" borderId="3" xfId="0" quotePrefix="1" applyNumberFormat="1" applyFont="1" applyBorder="1" applyAlignment="1" applyProtection="1">
      <alignment horizontal="right"/>
    </xf>
    <xf numFmtId="0" fontId="2" fillId="0" borderId="9" xfId="0" applyFont="1" applyBorder="1"/>
    <xf numFmtId="0" fontId="2" fillId="0" borderId="1" xfId="0" applyFont="1" applyBorder="1"/>
    <xf numFmtId="37" fontId="2" fillId="0" borderId="3" xfId="0" applyNumberFormat="1" applyFont="1" applyBorder="1" applyAlignment="1" applyProtection="1"/>
    <xf numFmtId="168" fontId="2" fillId="0" borderId="1" xfId="0" applyNumberFormat="1" applyFont="1" applyBorder="1" applyAlignment="1" applyProtection="1"/>
    <xf numFmtId="37" fontId="2" fillId="0" borderId="1" xfId="0" applyNumberFormat="1" applyFont="1" applyBorder="1"/>
    <xf numFmtId="169" fontId="2" fillId="0" borderId="1" xfId="0" applyNumberFormat="1" applyFont="1" applyBorder="1" applyAlignment="1" applyProtection="1"/>
    <xf numFmtId="168" fontId="2" fillId="0" borderId="0" xfId="0" quotePrefix="1" applyNumberFormat="1" applyFont="1" applyBorder="1" applyAlignment="1" applyProtection="1">
      <alignment horizontal="right"/>
    </xf>
    <xf numFmtId="3" fontId="2" fillId="0" borderId="0" xfId="0" quotePrefix="1" applyNumberFormat="1" applyFont="1" applyBorder="1" applyAlignment="1" applyProtection="1">
      <alignment horizontal="right"/>
    </xf>
    <xf numFmtId="3" fontId="2" fillId="0" borderId="0" xfId="0" applyNumberFormat="1" applyFont="1" applyBorder="1" applyAlignment="1" applyProtection="1"/>
    <xf numFmtId="0" fontId="2" fillId="0" borderId="10" xfId="0" applyFont="1" applyBorder="1"/>
    <xf numFmtId="37" fontId="2" fillId="0" borderId="6" xfId="0" applyNumberFormat="1" applyFont="1" applyBorder="1" applyAlignment="1" applyProtection="1">
      <alignment horizontal="center" vertical="center" wrapText="1"/>
    </xf>
    <xf numFmtId="0" fontId="2" fillId="0" borderId="6" xfId="0" applyFont="1" applyBorder="1" applyAlignment="1">
      <alignment horizontal="center" vertical="center" wrapText="1"/>
    </xf>
    <xf numFmtId="37" fontId="2" fillId="0" borderId="10" xfId="0" applyNumberFormat="1" applyFont="1" applyBorder="1" applyAlignment="1" applyProtection="1">
      <alignment horizontal="center" vertical="center" wrapText="1"/>
    </xf>
    <xf numFmtId="0" fontId="2" fillId="0" borderId="2" xfId="0" quotePrefix="1" applyFont="1" applyBorder="1" applyAlignment="1" applyProtection="1">
      <alignment vertical="center"/>
    </xf>
    <xf numFmtId="37" fontId="2" fillId="0" borderId="2" xfId="0" applyNumberFormat="1" applyFont="1" applyBorder="1"/>
    <xf numFmtId="37" fontId="2" fillId="0" borderId="6" xfId="0" applyNumberFormat="1" applyFont="1" applyBorder="1" applyAlignment="1">
      <alignment vertical="center"/>
    </xf>
    <xf numFmtId="37" fontId="2" fillId="0" borderId="2" xfId="0" applyNumberFormat="1" applyFont="1" applyBorder="1" applyAlignment="1">
      <alignment vertical="center"/>
    </xf>
    <xf numFmtId="3" fontId="2" fillId="0" borderId="10" xfId="0" applyNumberFormat="1" applyFont="1" applyBorder="1" applyAlignment="1">
      <alignment vertical="center"/>
    </xf>
    <xf numFmtId="3" fontId="2" fillId="0" borderId="0" xfId="0" applyNumberFormat="1" applyFont="1" applyProtection="1"/>
    <xf numFmtId="0" fontId="2" fillId="0" borderId="3" xfId="0" applyFont="1" applyBorder="1" applyAlignment="1"/>
    <xf numFmtId="3" fontId="2" fillId="0" borderId="0" xfId="0" applyNumberFormat="1" applyFont="1"/>
    <xf numFmtId="3" fontId="2" fillId="0" borderId="3" xfId="0" applyNumberFormat="1" applyFont="1" applyBorder="1"/>
    <xf numFmtId="3" fontId="2" fillId="0" borderId="7" xfId="0" applyNumberFormat="1" applyFont="1" applyBorder="1" applyAlignment="1">
      <alignment horizontal="right"/>
    </xf>
    <xf numFmtId="37" fontId="9" fillId="0" borderId="0" xfId="0" applyNumberFormat="1" applyFont="1"/>
    <xf numFmtId="0" fontId="2" fillId="0" borderId="3" xfId="0" applyFont="1" applyBorder="1" applyAlignment="1" applyProtection="1"/>
    <xf numFmtId="37" fontId="2" fillId="0" borderId="3" xfId="0" applyNumberFormat="1" applyFont="1" applyBorder="1" applyAlignment="1">
      <alignment horizontal="right"/>
    </xf>
    <xf numFmtId="37" fontId="2" fillId="0" borderId="3" xfId="0" quotePrefix="1" applyNumberFormat="1" applyFont="1" applyBorder="1" applyAlignment="1">
      <alignment horizontal="right"/>
    </xf>
    <xf numFmtId="37" fontId="2" fillId="0" borderId="3" xfId="0" applyNumberFormat="1" applyFont="1" applyBorder="1" applyProtection="1"/>
    <xf numFmtId="3" fontId="2" fillId="0" borderId="0" xfId="0" applyNumberFormat="1" applyFont="1" applyAlignment="1" applyProtection="1">
      <alignment horizontal="right"/>
    </xf>
    <xf numFmtId="37" fontId="2" fillId="0" borderId="1" xfId="0" applyNumberFormat="1" applyFont="1" applyBorder="1" applyAlignment="1">
      <alignment horizontal="right"/>
    </xf>
    <xf numFmtId="37" fontId="2" fillId="0" borderId="0" xfId="0" applyNumberFormat="1" applyFont="1" applyProtection="1"/>
    <xf numFmtId="37" fontId="2" fillId="0" borderId="9" xfId="0" applyNumberFormat="1" applyFont="1" applyBorder="1"/>
    <xf numFmtId="37" fontId="2" fillId="0" borderId="3" xfId="0" applyNumberFormat="1" applyFont="1" applyBorder="1" applyAlignment="1" applyProtection="1">
      <alignment horizontal="right"/>
    </xf>
    <xf numFmtId="0" fontId="2" fillId="0" borderId="2" xfId="0" quotePrefix="1" applyFont="1" applyBorder="1" applyAlignment="1" applyProtection="1"/>
    <xf numFmtId="166" fontId="2" fillId="0" borderId="6" xfId="0" applyNumberFormat="1" applyFont="1" applyBorder="1" applyProtection="1"/>
    <xf numFmtId="166" fontId="2" fillId="0" borderId="7" xfId="0" applyNumberFormat="1" applyFont="1" applyBorder="1"/>
    <xf numFmtId="166" fontId="2" fillId="0" borderId="3" xfId="0" quotePrefix="1" applyNumberFormat="1" applyFont="1" applyBorder="1" applyAlignment="1" applyProtection="1">
      <alignment horizontal="right"/>
    </xf>
    <xf numFmtId="166" fontId="2" fillId="0" borderId="3" xfId="0" applyNumberFormat="1" applyFont="1" applyBorder="1" applyProtection="1"/>
    <xf numFmtId="166" fontId="2" fillId="0" borderId="3" xfId="0" applyNumberFormat="1" applyFont="1" applyBorder="1"/>
    <xf numFmtId="0" fontId="2" fillId="0" borderId="3" xfId="0" applyFont="1" applyBorder="1" applyAlignment="1">
      <alignment horizontal="right"/>
    </xf>
    <xf numFmtId="167" fontId="2" fillId="0" borderId="3" xfId="0" applyNumberFormat="1" applyFont="1" applyBorder="1" applyAlignment="1">
      <alignment horizontal="right"/>
    </xf>
    <xf numFmtId="167" fontId="2" fillId="0" borderId="3" xfId="0" applyNumberFormat="1" applyFont="1" applyBorder="1" applyAlignment="1" applyProtection="1">
      <alignment horizontal="right"/>
    </xf>
    <xf numFmtId="167" fontId="2" fillId="0" borderId="1" xfId="0" applyNumberFormat="1" applyFont="1" applyBorder="1" applyAlignment="1">
      <alignment horizontal="right"/>
    </xf>
    <xf numFmtId="167" fontId="2" fillId="0" borderId="1" xfId="0" applyNumberFormat="1" applyFont="1" applyBorder="1" applyAlignment="1" applyProtection="1">
      <alignment horizontal="right"/>
    </xf>
    <xf numFmtId="167" fontId="2" fillId="0" borderId="0" xfId="0" applyNumberFormat="1" applyFont="1" applyBorder="1" applyAlignment="1">
      <alignment horizontal="right"/>
    </xf>
    <xf numFmtId="167" fontId="2" fillId="0" borderId="0" xfId="0" applyNumberFormat="1" applyFont="1" applyBorder="1" applyAlignment="1" applyProtection="1">
      <alignment horizontal="right"/>
    </xf>
    <xf numFmtId="0" fontId="11" fillId="0" borderId="0" xfId="0" applyFont="1"/>
    <xf numFmtId="0" fontId="2" fillId="0" borderId="6" xfId="0" applyFont="1" applyBorder="1" applyAlignment="1">
      <alignment horizontal="center"/>
    </xf>
    <xf numFmtId="0" fontId="2" fillId="0" borderId="6" xfId="0" quotePrefix="1" applyFont="1" applyBorder="1" applyAlignment="1">
      <alignment horizontal="center"/>
    </xf>
    <xf numFmtId="37" fontId="2" fillId="0" borderId="6" xfId="0" applyNumberFormat="1" applyFont="1" applyBorder="1"/>
    <xf numFmtId="168" fontId="2" fillId="0" borderId="6" xfId="0" applyNumberFormat="1" applyFont="1" applyBorder="1"/>
    <xf numFmtId="168" fontId="2" fillId="0" borderId="2" xfId="0" applyNumberFormat="1" applyFont="1" applyBorder="1"/>
    <xf numFmtId="168" fontId="2" fillId="0" borderId="7" xfId="0" applyNumberFormat="1" applyFont="1" applyBorder="1"/>
    <xf numFmtId="168" fontId="2" fillId="0" borderId="3" xfId="0" applyNumberFormat="1" applyFont="1" applyBorder="1"/>
    <xf numFmtId="168" fontId="2" fillId="0" borderId="3" xfId="0" quotePrefix="1" applyNumberFormat="1" applyFont="1" applyBorder="1" applyAlignment="1">
      <alignment horizontal="right"/>
    </xf>
    <xf numFmtId="0" fontId="2" fillId="0" borderId="3" xfId="0" applyFont="1" applyBorder="1" applyAlignment="1" applyProtection="1">
      <alignment horizontal="left"/>
    </xf>
    <xf numFmtId="166" fontId="2" fillId="0" borderId="3" xfId="0" applyNumberFormat="1" applyFont="1" applyBorder="1" applyAlignment="1">
      <alignment horizontal="right"/>
    </xf>
    <xf numFmtId="0" fontId="2" fillId="0" borderId="1" xfId="0" applyFont="1" applyBorder="1" applyAlignment="1">
      <alignment horizontal="right"/>
    </xf>
    <xf numFmtId="0" fontId="2" fillId="0" borderId="2" xfId="0" applyFont="1" applyBorder="1" applyAlignment="1">
      <alignment horizontal="center"/>
    </xf>
    <xf numFmtId="37" fontId="2" fillId="0" borderId="3" xfId="0" applyNumberFormat="1" applyFont="1" applyBorder="1" applyAlignment="1"/>
    <xf numFmtId="37" fontId="2" fillId="0" borderId="2" xfId="0" applyNumberFormat="1" applyFont="1" applyBorder="1" applyAlignment="1"/>
    <xf numFmtId="37" fontId="2" fillId="0" borderId="2" xfId="0" applyNumberFormat="1" applyFont="1" applyBorder="1" applyAlignment="1">
      <alignment horizontal="right"/>
    </xf>
    <xf numFmtId="167" fontId="2" fillId="0" borderId="2" xfId="0" applyNumberFormat="1" applyFont="1" applyBorder="1" applyAlignment="1" applyProtection="1">
      <alignment horizontal="right"/>
    </xf>
    <xf numFmtId="167" fontId="2" fillId="0" borderId="3" xfId="0" quotePrefix="1" applyNumberFormat="1" applyFont="1" applyBorder="1" applyAlignment="1" applyProtection="1">
      <alignment horizontal="right"/>
    </xf>
    <xf numFmtId="167" fontId="2" fillId="0" borderId="2" xfId="0" applyNumberFormat="1" applyFont="1" applyBorder="1" applyAlignment="1">
      <alignment horizontal="right"/>
    </xf>
    <xf numFmtId="0" fontId="2" fillId="0" borderId="6" xfId="0" applyFont="1" applyBorder="1" applyAlignment="1">
      <alignment horizontal="centerContinuous" vertical="center"/>
    </xf>
    <xf numFmtId="0" fontId="2" fillId="0" borderId="6" xfId="0" quotePrefix="1" applyFont="1" applyBorder="1" applyAlignment="1">
      <alignment horizontal="center" vertical="center"/>
    </xf>
    <xf numFmtId="0" fontId="2" fillId="0" borderId="3" xfId="0" applyFont="1" applyBorder="1" applyAlignment="1">
      <alignment horizontal="left" indent="1"/>
    </xf>
    <xf numFmtId="0" fontId="2" fillId="0" borderId="3" xfId="0" quotePrefix="1" applyFont="1" applyBorder="1" applyAlignment="1">
      <alignment horizontal="left" indent="1"/>
    </xf>
    <xf numFmtId="0" fontId="2" fillId="0" borderId="3" xfId="0" applyFont="1" applyFill="1" applyBorder="1" applyAlignment="1">
      <alignment horizontal="left" indent="1"/>
    </xf>
    <xf numFmtId="0" fontId="2" fillId="0" borderId="1" xfId="0" applyFont="1" applyBorder="1" applyAlignment="1">
      <alignment horizontal="left" indent="1"/>
    </xf>
    <xf numFmtId="0" fontId="2" fillId="0" borderId="6" xfId="0" applyFont="1" applyBorder="1" applyAlignment="1">
      <alignment horizontal="centerContinuous"/>
    </xf>
    <xf numFmtId="164" fontId="2" fillId="0" borderId="2" xfId="0" applyNumberFormat="1" applyFont="1" applyBorder="1" applyAlignment="1" applyProtection="1"/>
    <xf numFmtId="164" fontId="2" fillId="0" borderId="3" xfId="0" applyNumberFormat="1" applyFont="1" applyBorder="1" applyAlignment="1" applyProtection="1"/>
    <xf numFmtId="37" fontId="2" fillId="0" borderId="1" xfId="0" quotePrefix="1" applyNumberFormat="1" applyFont="1" applyBorder="1" applyAlignment="1">
      <alignment horizontal="right"/>
    </xf>
    <xf numFmtId="0" fontId="2" fillId="0" borderId="7" xfId="0" applyFont="1" applyBorder="1" applyAlignment="1">
      <alignment horizontal="center"/>
    </xf>
    <xf numFmtId="37" fontId="2" fillId="0" borderId="7" xfId="0" applyNumberFormat="1" applyFont="1" applyBorder="1"/>
    <xf numFmtId="0" fontId="2" fillId="0" borderId="3" xfId="0" quotePrefix="1" applyFont="1" applyBorder="1" applyAlignment="1">
      <alignment horizontal="center"/>
    </xf>
    <xf numFmtId="16" fontId="2" fillId="0" borderId="3" xfId="0" quotePrefix="1" applyNumberFormat="1" applyFont="1" applyBorder="1" applyAlignment="1">
      <alignment horizontal="center"/>
    </xf>
    <xf numFmtId="0" fontId="2" fillId="0" borderId="0" xfId="0" quotePrefix="1" applyFont="1" applyAlignment="1">
      <alignment horizontal="right"/>
    </xf>
    <xf numFmtId="170" fontId="2" fillId="0" borderId="0" xfId="0" applyNumberFormat="1" applyFont="1"/>
    <xf numFmtId="171" fontId="2" fillId="0" borderId="9" xfId="0" applyNumberFormat="1" applyFont="1" applyBorder="1"/>
    <xf numFmtId="171" fontId="2" fillId="0" borderId="3" xfId="0" applyNumberFormat="1" applyFont="1" applyBorder="1"/>
    <xf numFmtId="166" fontId="2" fillId="0" borderId="0" xfId="0" applyNumberFormat="1" applyFont="1" applyProtection="1"/>
    <xf numFmtId="171" fontId="2" fillId="0" borderId="1" xfId="0" applyNumberFormat="1" applyFont="1" applyBorder="1"/>
    <xf numFmtId="170" fontId="2" fillId="0" borderId="9" xfId="0" applyNumberFormat="1" applyFont="1" applyBorder="1"/>
    <xf numFmtId="170" fontId="2" fillId="0" borderId="3" xfId="0" applyNumberFormat="1" applyFont="1" applyBorder="1"/>
    <xf numFmtId="170" fontId="2" fillId="0" borderId="1" xfId="0" applyNumberFormat="1" applyFont="1" applyBorder="1"/>
    <xf numFmtId="165" fontId="1" fillId="0" borderId="0" xfId="0" applyNumberFormat="1" applyFont="1" applyProtection="1"/>
    <xf numFmtId="0" fontId="2" fillId="0" borderId="12" xfId="0" applyFont="1" applyBorder="1" applyAlignment="1" applyProtection="1">
      <alignment horizontal="centerContinuous"/>
    </xf>
    <xf numFmtId="0" fontId="2" fillId="0" borderId="8" xfId="0" applyFont="1" applyBorder="1" applyAlignment="1" applyProtection="1">
      <alignment horizontal="centerContinuous"/>
    </xf>
    <xf numFmtId="0" fontId="2" fillId="0" borderId="11" xfId="0" applyFont="1" applyBorder="1" applyAlignment="1" applyProtection="1">
      <alignment horizontal="center"/>
    </xf>
    <xf numFmtId="0" fontId="3" fillId="0" borderId="3" xfId="0" applyFont="1" applyBorder="1" applyAlignment="1" applyProtection="1">
      <alignment horizontal="left"/>
    </xf>
    <xf numFmtId="0" fontId="2" fillId="0" borderId="7" xfId="0" applyFont="1" applyBorder="1" applyAlignment="1" applyProtection="1">
      <alignment horizontal="center"/>
    </xf>
    <xf numFmtId="0" fontId="2" fillId="0" borderId="7" xfId="0" quotePrefix="1" applyFont="1" applyBorder="1" applyAlignment="1" applyProtection="1">
      <alignment horizontal="center"/>
    </xf>
    <xf numFmtId="167" fontId="2" fillId="0" borderId="7" xfId="0" applyNumberFormat="1" applyFont="1" applyBorder="1"/>
    <xf numFmtId="167" fontId="2" fillId="0" borderId="3" xfId="0" applyNumberFormat="1" applyFont="1" applyBorder="1"/>
    <xf numFmtId="167" fontId="2" fillId="0" borderId="3" xfId="0" applyNumberFormat="1" applyFont="1" applyBorder="1" applyProtection="1"/>
    <xf numFmtId="0" fontId="3" fillId="0" borderId="9" xfId="0" applyFont="1" applyBorder="1" applyAlignment="1" applyProtection="1">
      <alignment horizontal="left"/>
    </xf>
    <xf numFmtId="0" fontId="2" fillId="0" borderId="5" xfId="0" applyFont="1" applyBorder="1" applyAlignment="1" applyProtection="1">
      <alignment horizontal="center"/>
    </xf>
    <xf numFmtId="167" fontId="2" fillId="0" borderId="5" xfId="0" applyNumberFormat="1" applyFont="1" applyBorder="1" applyProtection="1"/>
    <xf numFmtId="0" fontId="3" fillId="0" borderId="3" xfId="0" applyFont="1" applyBorder="1"/>
    <xf numFmtId="0" fontId="2" fillId="0" borderId="3" xfId="0" applyFont="1" applyBorder="1" applyAlignment="1" applyProtection="1">
      <alignment horizontal="fill"/>
    </xf>
    <xf numFmtId="167" fontId="2" fillId="0" borderId="7" xfId="0" applyNumberFormat="1" applyFont="1" applyBorder="1" applyAlignment="1" applyProtection="1"/>
    <xf numFmtId="167" fontId="2" fillId="0" borderId="7" xfId="0" quotePrefix="1" applyNumberFormat="1" applyFont="1" applyBorder="1" applyAlignment="1" applyProtection="1">
      <alignment horizontal="right"/>
    </xf>
    <xf numFmtId="167" fontId="2" fillId="0" borderId="7" xfId="0" quotePrefix="1" applyNumberFormat="1" applyFont="1" applyBorder="1" applyAlignment="1">
      <alignment horizontal="right"/>
    </xf>
    <xf numFmtId="167" fontId="2" fillId="0" borderId="3" xfId="0" quotePrefix="1" applyNumberFormat="1" applyFont="1" applyBorder="1" applyAlignment="1">
      <alignment horizontal="right"/>
    </xf>
    <xf numFmtId="0" fontId="2" fillId="0" borderId="1" xfId="0" applyFont="1" applyBorder="1" applyAlignment="1" applyProtection="1">
      <alignment horizontal="fill"/>
    </xf>
    <xf numFmtId="167" fontId="2" fillId="0" borderId="1" xfId="0" quotePrefix="1" applyNumberFormat="1" applyFont="1" applyBorder="1" applyAlignment="1">
      <alignment horizontal="right"/>
    </xf>
    <xf numFmtId="0" fontId="12" fillId="0" borderId="0" xfId="0" applyFont="1"/>
    <xf numFmtId="167" fontId="2" fillId="0" borderId="9" xfId="0" applyNumberFormat="1" applyFont="1" applyBorder="1"/>
    <xf numFmtId="167" fontId="2" fillId="0" borderId="1" xfId="0" quotePrefix="1" applyNumberFormat="1" applyFont="1" applyBorder="1" applyAlignment="1" applyProtection="1">
      <alignment horizontal="right"/>
    </xf>
    <xf numFmtId="167" fontId="2" fillId="0" borderId="5" xfId="0" quotePrefix="1" applyNumberFormat="1" applyFont="1" applyBorder="1" applyAlignment="1" applyProtection="1"/>
    <xf numFmtId="167" fontId="2" fillId="0" borderId="5" xfId="0" applyNumberFormat="1" applyFont="1" applyBorder="1" applyAlignment="1" applyProtection="1"/>
    <xf numFmtId="167" fontId="2" fillId="0" borderId="7" xfId="0" quotePrefix="1" applyNumberFormat="1" applyFont="1" applyBorder="1" applyAlignment="1" applyProtection="1"/>
    <xf numFmtId="166" fontId="2" fillId="0" borderId="5" xfId="0" applyNumberFormat="1" applyFont="1" applyBorder="1" applyProtection="1"/>
    <xf numFmtId="166" fontId="2" fillId="0" borderId="5" xfId="0" quotePrefix="1" applyNumberFormat="1" applyFont="1" applyBorder="1" applyAlignment="1" applyProtection="1"/>
    <xf numFmtId="166" fontId="2" fillId="0" borderId="5" xfId="0" applyNumberFormat="1" applyFont="1" applyBorder="1" applyAlignment="1" applyProtection="1"/>
    <xf numFmtId="166" fontId="2" fillId="0" borderId="0" xfId="0" quotePrefix="1" applyNumberFormat="1" applyFont="1" applyAlignment="1" applyProtection="1">
      <alignment horizontal="fill"/>
    </xf>
    <xf numFmtId="166" fontId="2" fillId="0" borderId="7" xfId="0" quotePrefix="1" applyNumberFormat="1" applyFont="1" applyBorder="1" applyAlignment="1" applyProtection="1"/>
    <xf numFmtId="166" fontId="2" fillId="0" borderId="7" xfId="0" applyNumberFormat="1" applyFont="1" applyBorder="1" applyAlignment="1" applyProtection="1"/>
    <xf numFmtId="166" fontId="2" fillId="0" borderId="7" xfId="0" quotePrefix="1" applyNumberFormat="1" applyFont="1" applyBorder="1" applyAlignment="1" applyProtection="1">
      <alignment horizontal="right"/>
    </xf>
    <xf numFmtId="166" fontId="2" fillId="0" borderId="5" xfId="0" applyNumberFormat="1" applyFont="1" applyBorder="1" applyAlignment="1"/>
    <xf numFmtId="166" fontId="2" fillId="0" borderId="7" xfId="0" applyNumberFormat="1" applyFont="1" applyBorder="1" applyAlignment="1"/>
    <xf numFmtId="166" fontId="2" fillId="0" borderId="1" xfId="0" quotePrefix="1" applyNumberFormat="1" applyFont="1" applyBorder="1" applyAlignment="1" applyProtection="1">
      <alignment horizontal="right"/>
    </xf>
    <xf numFmtId="167" fontId="2" fillId="0" borderId="5" xfId="0" applyNumberFormat="1" applyFont="1" applyBorder="1" applyAlignment="1"/>
    <xf numFmtId="167" fontId="2" fillId="0" borderId="7" xfId="0" applyNumberFormat="1" applyFont="1" applyBorder="1" applyAlignment="1"/>
    <xf numFmtId="167" fontId="2" fillId="0" borderId="9" xfId="0" quotePrefix="1" applyNumberFormat="1" applyFont="1" applyBorder="1" applyAlignment="1">
      <alignment horizontal="right"/>
    </xf>
    <xf numFmtId="167" fontId="2" fillId="0" borderId="7" xfId="0" applyNumberFormat="1" applyFont="1" applyBorder="1" applyAlignment="1">
      <alignment horizontal="right"/>
    </xf>
    <xf numFmtId="167" fontId="2" fillId="0" borderId="9" xfId="0" applyNumberFormat="1" applyFont="1" applyBorder="1" applyProtection="1"/>
    <xf numFmtId="0" fontId="2" fillId="0" borderId="2" xfId="0" quotePrefix="1" applyFont="1" applyBorder="1" applyAlignment="1">
      <alignment horizontal="center" vertical="center"/>
    </xf>
    <xf numFmtId="0" fontId="2" fillId="0" borderId="3" xfId="0" quotePrefix="1" applyFont="1" applyBorder="1" applyAlignment="1" applyProtection="1">
      <alignment vertical="center"/>
    </xf>
    <xf numFmtId="0" fontId="2" fillId="0" borderId="13" xfId="0" applyFont="1" applyBorder="1" applyAlignment="1">
      <alignment horizontal="centerContinuous"/>
    </xf>
    <xf numFmtId="0" fontId="2" fillId="0" borderId="5" xfId="0" quotePrefix="1" applyFont="1" applyBorder="1" applyAlignment="1">
      <alignment horizontal="center" vertical="center"/>
    </xf>
    <xf numFmtId="0" fontId="2" fillId="0" borderId="9" xfId="0" quotePrefix="1" applyFont="1" applyBorder="1" applyAlignment="1">
      <alignment horizontal="center" vertical="center"/>
    </xf>
    <xf numFmtId="0" fontId="2" fillId="0" borderId="2" xfId="0" quotePrefix="1" applyFont="1" applyBorder="1" applyAlignment="1" applyProtection="1">
      <alignment horizontal="left" indent="1"/>
    </xf>
    <xf numFmtId="0" fontId="2" fillId="0" borderId="3" xfId="0" applyFont="1" applyBorder="1" applyAlignment="1" applyProtection="1">
      <alignment horizontal="left" indent="1"/>
    </xf>
    <xf numFmtId="0" fontId="2" fillId="0" borderId="0" xfId="0" applyFont="1" applyAlignment="1" applyProtection="1"/>
    <xf numFmtId="0" fontId="3" fillId="0" borderId="0" xfId="0" applyFont="1" applyAlignment="1" applyProtection="1"/>
    <xf numFmtId="0" fontId="3" fillId="0" borderId="0" xfId="0" applyFont="1" applyAlignment="1"/>
    <xf numFmtId="0" fontId="3" fillId="0" borderId="0" xfId="0" quotePrefix="1" applyFont="1" applyAlignment="1"/>
    <xf numFmtId="37" fontId="2" fillId="0" borderId="7" xfId="0" applyNumberFormat="1" applyFont="1" applyBorder="1" applyAlignment="1"/>
    <xf numFmtId="37" fontId="2" fillId="0" borderId="7" xfId="0" quotePrefix="1" applyNumberFormat="1" applyFont="1" applyBorder="1" applyAlignment="1" applyProtection="1">
      <alignment horizontal="right"/>
    </xf>
    <xf numFmtId="37" fontId="2" fillId="0" borderId="3" xfId="0" applyNumberFormat="1" applyFont="1" applyBorder="1" applyAlignment="1" applyProtection="1">
      <alignment horizontal="center"/>
    </xf>
    <xf numFmtId="37" fontId="2" fillId="0" borderId="3" xfId="0" quotePrefix="1" applyNumberFormat="1" applyFont="1" applyBorder="1" applyAlignment="1" applyProtection="1">
      <alignment horizontal="right"/>
    </xf>
    <xf numFmtId="37" fontId="2" fillId="0" borderId="1" xfId="0" quotePrefix="1" applyNumberFormat="1" applyFont="1" applyBorder="1" applyAlignment="1" applyProtection="1">
      <alignment horizontal="right"/>
    </xf>
    <xf numFmtId="37" fontId="2" fillId="0" borderId="1" xfId="0" applyNumberFormat="1" applyFont="1" applyBorder="1" applyAlignment="1" applyProtection="1"/>
    <xf numFmtId="166" fontId="2" fillId="0" borderId="3" xfId="0" applyNumberFormat="1" applyFont="1" applyBorder="1" applyAlignment="1" applyProtection="1"/>
    <xf numFmtId="0" fontId="3" fillId="0" borderId="0" xfId="0" applyFont="1"/>
    <xf numFmtId="166" fontId="2" fillId="0" borderId="7" xfId="0" applyNumberFormat="1" applyFont="1" applyFill="1" applyBorder="1" applyAlignment="1" applyProtection="1"/>
    <xf numFmtId="0" fontId="2" fillId="0" borderId="0" xfId="0" quotePrefix="1" applyFont="1" applyAlignment="1" applyProtection="1">
      <alignment vertical="center" wrapText="1"/>
    </xf>
    <xf numFmtId="0" fontId="2" fillId="0" borderId="6" xfId="0" applyFont="1" applyFill="1" applyBorder="1" applyAlignment="1">
      <alignment horizontal="center"/>
    </xf>
    <xf numFmtId="0" fontId="2" fillId="0" borderId="0" xfId="0" applyFont="1" applyFill="1"/>
    <xf numFmtId="0" fontId="2" fillId="0" borderId="0" xfId="0" applyFont="1" applyFill="1" applyAlignment="1">
      <alignment horizontal="centerContinuous"/>
    </xf>
    <xf numFmtId="0" fontId="2" fillId="0" borderId="6" xfId="0" quotePrefix="1" applyFont="1" applyFill="1" applyBorder="1" applyAlignment="1">
      <alignment horizontal="center"/>
    </xf>
    <xf numFmtId="37" fontId="2" fillId="0" borderId="6" xfId="0" applyNumberFormat="1" applyFont="1" applyFill="1" applyBorder="1"/>
    <xf numFmtId="168" fontId="2" fillId="0" borderId="6" xfId="0" applyNumberFormat="1" applyFont="1" applyFill="1" applyBorder="1"/>
    <xf numFmtId="3" fontId="2" fillId="0" borderId="7" xfId="0" applyNumberFormat="1" applyFont="1" applyFill="1" applyBorder="1"/>
    <xf numFmtId="168" fontId="2" fillId="0" borderId="7" xfId="0" applyNumberFormat="1" applyFont="1" applyFill="1" applyBorder="1"/>
    <xf numFmtId="37" fontId="2" fillId="0" borderId="3" xfId="0" applyNumberFormat="1" applyFont="1" applyFill="1" applyBorder="1"/>
    <xf numFmtId="168" fontId="2" fillId="0" borderId="3" xfId="0" applyNumberFormat="1" applyFont="1" applyFill="1" applyBorder="1"/>
    <xf numFmtId="37" fontId="2" fillId="0" borderId="3" xfId="0" applyNumberFormat="1" applyFont="1" applyFill="1" applyBorder="1" applyAlignment="1">
      <alignment horizontal="right"/>
    </xf>
    <xf numFmtId="37" fontId="2" fillId="0" borderId="1" xfId="0" applyNumberFormat="1" applyFont="1" applyFill="1" applyBorder="1" applyAlignment="1">
      <alignment horizontal="right"/>
    </xf>
    <xf numFmtId="0" fontId="2" fillId="0" borderId="1" xfId="0" applyFont="1" applyFill="1" applyBorder="1" applyAlignment="1">
      <alignment horizontal="right"/>
    </xf>
    <xf numFmtId="0" fontId="2" fillId="0" borderId="0" xfId="0" applyFont="1" applyFill="1" applyBorder="1"/>
    <xf numFmtId="0" fontId="2" fillId="0" borderId="2" xfId="0" applyFont="1" applyFill="1" applyBorder="1" applyAlignment="1">
      <alignment horizontal="center"/>
    </xf>
    <xf numFmtId="37" fontId="2" fillId="0" borderId="2" xfId="0" applyNumberFormat="1" applyFont="1" applyFill="1" applyBorder="1" applyAlignment="1"/>
    <xf numFmtId="167" fontId="2" fillId="0" borderId="2" xfId="0" applyNumberFormat="1" applyFont="1" applyFill="1" applyBorder="1" applyAlignment="1">
      <alignment horizontal="right"/>
    </xf>
    <xf numFmtId="37" fontId="2" fillId="0" borderId="3" xfId="0" applyNumberFormat="1" applyFont="1" applyFill="1" applyBorder="1" applyAlignment="1"/>
    <xf numFmtId="167" fontId="2" fillId="0" borderId="3" xfId="0" applyNumberFormat="1" applyFont="1" applyFill="1" applyBorder="1" applyAlignment="1">
      <alignment horizontal="right"/>
    </xf>
    <xf numFmtId="0" fontId="2" fillId="0" borderId="3" xfId="0" applyFont="1" applyFill="1" applyBorder="1"/>
    <xf numFmtId="0" fontId="2" fillId="0" borderId="1" xfId="0" applyFont="1" applyFill="1" applyBorder="1"/>
    <xf numFmtId="0" fontId="2" fillId="0" borderId="2" xfId="0" applyFont="1" applyBorder="1" applyAlignment="1">
      <alignment horizontal="centerContinuous" vertical="center"/>
    </xf>
    <xf numFmtId="0" fontId="2" fillId="0" borderId="12" xfId="0" applyFont="1" applyBorder="1" applyAlignment="1">
      <alignment horizontal="centerContinuous"/>
    </xf>
    <xf numFmtId="168" fontId="2" fillId="0" borderId="3" xfId="0" applyNumberFormat="1" applyFont="1" applyBorder="1" applyAlignment="1">
      <alignment horizontal="right"/>
    </xf>
    <xf numFmtId="0" fontId="11" fillId="0" borderId="0" xfId="0" applyFont="1" applyFill="1"/>
    <xf numFmtId="166" fontId="2" fillId="0" borderId="0" xfId="0" quotePrefix="1" applyNumberFormat="1" applyFont="1" applyBorder="1" applyAlignment="1">
      <alignment horizontal="right"/>
    </xf>
    <xf numFmtId="166" fontId="2" fillId="0" borderId="0" xfId="0" applyNumberFormat="1" applyFont="1" applyBorder="1"/>
    <xf numFmtId="0" fontId="2" fillId="0" borderId="0" xfId="0" applyFont="1" applyBorder="1" applyAlignment="1">
      <alignment horizontal="centerContinuous"/>
    </xf>
    <xf numFmtId="37" fontId="2" fillId="0" borderId="0" xfId="0" applyNumberFormat="1" applyFont="1" applyBorder="1" applyAlignment="1">
      <alignment horizontal="right"/>
    </xf>
    <xf numFmtId="37" fontId="2" fillId="0" borderId="0" xfId="0" quotePrefix="1" applyNumberFormat="1" applyFont="1" applyBorder="1" applyAlignment="1">
      <alignment horizontal="right"/>
    </xf>
    <xf numFmtId="0" fontId="2" fillId="0" borderId="0" xfId="0" applyFont="1" applyFill="1" applyBorder="1" applyAlignment="1">
      <alignment horizontal="center"/>
    </xf>
    <xf numFmtId="166" fontId="2" fillId="0" borderId="3" xfId="0" quotePrefix="1" applyNumberFormat="1" applyFont="1" applyBorder="1" applyAlignment="1">
      <alignment horizontal="right"/>
    </xf>
    <xf numFmtId="166" fontId="2" fillId="0" borderId="1" xfId="0" quotePrefix="1" applyNumberFormat="1" applyFont="1" applyBorder="1" applyAlignment="1">
      <alignment horizontal="right"/>
    </xf>
    <xf numFmtId="37" fontId="2" fillId="2" borderId="6" xfId="0" applyNumberFormat="1" applyFont="1" applyFill="1" applyBorder="1" applyAlignment="1" applyProtection="1">
      <alignment horizontal="center" vertical="center" wrapText="1"/>
    </xf>
    <xf numFmtId="168" fontId="2" fillId="0" borderId="0" xfId="0" applyNumberFormat="1" applyFont="1"/>
    <xf numFmtId="166" fontId="2" fillId="0" borderId="0" xfId="0" quotePrefix="1" applyNumberFormat="1" applyFont="1" applyBorder="1" applyAlignment="1" applyProtection="1">
      <alignment horizontal="right"/>
    </xf>
    <xf numFmtId="3" fontId="2" fillId="0" borderId="2" xfId="0" applyNumberFormat="1" applyFont="1" applyBorder="1"/>
    <xf numFmtId="0" fontId="14" fillId="0" borderId="0" xfId="0" applyFont="1"/>
    <xf numFmtId="37" fontId="2" fillId="0" borderId="2" xfId="0" applyNumberFormat="1" applyFont="1" applyFill="1" applyBorder="1"/>
    <xf numFmtId="0" fontId="2" fillId="0" borderId="8" xfId="0" applyFont="1" applyFill="1" applyBorder="1" applyAlignment="1">
      <alignment horizontal="centerContinuous"/>
    </xf>
    <xf numFmtId="37" fontId="2" fillId="0" borderId="2" xfId="0" applyNumberFormat="1" applyFont="1" applyFill="1" applyBorder="1" applyAlignment="1">
      <alignment horizontal="right"/>
    </xf>
    <xf numFmtId="37" fontId="2" fillId="0" borderId="3" xfId="0" quotePrefix="1" applyNumberFormat="1" applyFont="1" applyFill="1" applyBorder="1" applyAlignment="1">
      <alignment horizontal="right"/>
    </xf>
    <xf numFmtId="37" fontId="2" fillId="0" borderId="1" xfId="0" quotePrefix="1" applyNumberFormat="1" applyFont="1" applyFill="1" applyBorder="1" applyAlignment="1">
      <alignment horizontal="right"/>
    </xf>
    <xf numFmtId="37" fontId="2" fillId="0" borderId="1" xfId="0" applyNumberFormat="1" applyFont="1" applyFill="1" applyBorder="1"/>
    <xf numFmtId="0" fontId="5" fillId="0" borderId="0" xfId="0" applyFont="1" applyAlignment="1">
      <alignment vertical="center"/>
    </xf>
    <xf numFmtId="0" fontId="2" fillId="0" borderId="0" xfId="0" applyFont="1" applyAlignment="1">
      <alignment vertical="center"/>
    </xf>
    <xf numFmtId="0" fontId="6" fillId="0" borderId="0" xfId="0" applyFont="1" applyAlignment="1"/>
    <xf numFmtId="0" fontId="7" fillId="0" borderId="0" xfId="0" applyFont="1" applyAlignment="1"/>
    <xf numFmtId="0" fontId="2" fillId="0" borderId="0" xfId="0" applyFont="1" applyBorder="1" applyAlignment="1"/>
    <xf numFmtId="0" fontId="5" fillId="0" borderId="0" xfId="0" applyFont="1" applyAlignment="1">
      <alignment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37" fontId="2" fillId="0" borderId="11" xfId="0" applyNumberFormat="1" applyFont="1" applyFill="1" applyBorder="1" applyAlignment="1">
      <alignment horizontal="center" vertical="center" wrapText="1"/>
    </xf>
    <xf numFmtId="0" fontId="2" fillId="0" borderId="4" xfId="0" applyFont="1" applyFill="1" applyBorder="1" applyAlignment="1">
      <alignment horizontal="centerContinuous" vertical="center" wrapText="1"/>
    </xf>
    <xf numFmtId="0" fontId="2" fillId="0" borderId="5" xfId="0" applyFont="1" applyFill="1" applyBorder="1" applyAlignment="1">
      <alignment horizontal="centerContinuous" vertical="center" wrapText="1"/>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pplyProtection="1">
      <alignment vertical="center"/>
    </xf>
    <xf numFmtId="0" fontId="16" fillId="0" borderId="0" xfId="0" applyFont="1" applyAlignment="1">
      <alignment horizontal="centerContinuous"/>
    </xf>
    <xf numFmtId="0" fontId="6"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2" fillId="0" borderId="0" xfId="0" applyFont="1" applyAlignment="1" applyProtection="1">
      <alignment vertical="center" wrapText="1"/>
    </xf>
    <xf numFmtId="0" fontId="5" fillId="0" borderId="0" xfId="0" applyFont="1" applyAlignment="1">
      <alignment vertical="center" wrapText="1"/>
    </xf>
    <xf numFmtId="0" fontId="2" fillId="0" borderId="0" xfId="0" applyFont="1" applyAlignment="1">
      <alignment vertical="center" wrapText="1"/>
    </xf>
    <xf numFmtId="0" fontId="2" fillId="0" borderId="9" xfId="0" applyFont="1" applyBorder="1" applyAlignment="1" applyProtection="1">
      <alignment horizontal="center" vertical="center"/>
    </xf>
    <xf numFmtId="0" fontId="5" fillId="0" borderId="1" xfId="0" applyFont="1" applyBorder="1" applyAlignment="1">
      <alignment vertical="center"/>
    </xf>
    <xf numFmtId="0" fontId="2" fillId="0" borderId="0" xfId="0" quotePrefix="1"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5" fillId="0" borderId="0" xfId="0" applyFont="1" applyAlignment="1">
      <alignment vertical="center"/>
    </xf>
    <xf numFmtId="0" fontId="2" fillId="0" borderId="0" xfId="0" applyFont="1" applyAlignment="1">
      <alignment horizontal="left" wrapText="1"/>
    </xf>
    <xf numFmtId="0" fontId="2" fillId="0" borderId="4" xfId="0" applyFont="1" applyBorder="1" applyAlignment="1" applyProtection="1">
      <alignment horizontal="left" vertical="center" wrapText="1"/>
    </xf>
    <xf numFmtId="0" fontId="5" fillId="0" borderId="4" xfId="0" applyFont="1" applyBorder="1" applyAlignment="1">
      <alignment vertical="center" wrapText="1"/>
    </xf>
    <xf numFmtId="0" fontId="2" fillId="0" borderId="9" xfId="0" applyFont="1" applyBorder="1" applyAlignment="1" applyProtection="1">
      <alignment horizontal="center" vertical="center" wrapText="1"/>
    </xf>
    <xf numFmtId="0" fontId="5" fillId="0" borderId="1" xfId="0" applyFont="1" applyBorder="1" applyAlignment="1">
      <alignment horizontal="center"/>
    </xf>
    <xf numFmtId="0" fontId="2" fillId="0" borderId="0" xfId="0" quotePrefix="1" applyFont="1" applyAlignment="1" applyProtection="1">
      <alignment horizontal="lef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pplyProtection="1">
      <alignment horizontal="left" vertical="center"/>
    </xf>
    <xf numFmtId="0" fontId="7" fillId="0" borderId="0" xfId="0" applyFont="1" applyAlignment="1">
      <alignment vertical="center"/>
    </xf>
    <xf numFmtId="0" fontId="6" fillId="0" borderId="4" xfId="0" applyFont="1" applyBorder="1" applyAlignment="1">
      <alignment vertical="center" wrapText="1"/>
    </xf>
    <xf numFmtId="0" fontId="0" fillId="0" borderId="4" xfId="0" applyBorder="1" applyAlignment="1">
      <alignment wrapText="1"/>
    </xf>
    <xf numFmtId="0" fontId="6" fillId="0" borderId="0" xfId="0" applyFont="1" applyAlignment="1">
      <alignment horizontal="left" wrapText="1"/>
    </xf>
    <xf numFmtId="0" fontId="0" fillId="0" borderId="0" xfId="0" applyAlignment="1">
      <alignment wrapText="1"/>
    </xf>
    <xf numFmtId="0" fontId="2" fillId="0" borderId="9" xfId="0" applyFont="1" applyBorder="1" applyAlignment="1">
      <alignment horizontal="center" vertical="center"/>
    </xf>
    <xf numFmtId="0" fontId="0" fillId="0" borderId="1" xfId="0" applyBorder="1" applyAlignment="1">
      <alignment horizontal="center"/>
    </xf>
    <xf numFmtId="0" fontId="2" fillId="0" borderId="1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pplyProtection="1">
      <alignment horizontal="center"/>
    </xf>
    <xf numFmtId="0" fontId="2" fillId="0" borderId="4" xfId="0" applyFont="1" applyBorder="1" applyAlignment="1">
      <alignment wrapText="1"/>
    </xf>
    <xf numFmtId="0" fontId="2" fillId="0" borderId="0" xfId="0" applyFont="1" applyBorder="1" applyAlignment="1">
      <alignment wrapText="1"/>
    </xf>
    <xf numFmtId="0" fontId="2" fillId="0" borderId="9" xfId="0" applyFont="1" applyBorder="1" applyAlignment="1">
      <alignment horizontal="center" vertical="center" wrapText="1"/>
    </xf>
    <xf numFmtId="0" fontId="5" fillId="0" borderId="1" xfId="0" applyFont="1" applyBorder="1" applyAlignment="1"/>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Border="1" applyAlignment="1">
      <alignment horizontal="center" wrapText="1"/>
    </xf>
    <xf numFmtId="0" fontId="2" fillId="0" borderId="2" xfId="0" applyFont="1" applyFill="1" applyBorder="1" applyAlignment="1">
      <alignment horizontal="center" wrapText="1"/>
    </xf>
    <xf numFmtId="0" fontId="3" fillId="0" borderId="0" xfId="0" quotePrefix="1" applyFont="1" applyAlignment="1">
      <alignment horizontal="center" wrapText="1"/>
    </xf>
    <xf numFmtId="0" fontId="2" fillId="0" borderId="0" xfId="0" applyFont="1" applyAlignment="1">
      <alignment horizontal="center"/>
    </xf>
    <xf numFmtId="0" fontId="2" fillId="0" borderId="14" xfId="0" applyFont="1" applyBorder="1" applyAlignment="1">
      <alignment horizontal="center"/>
    </xf>
    <xf numFmtId="0" fontId="5" fillId="0" borderId="1" xfId="0" applyFont="1" applyBorder="1" applyAlignment="1">
      <alignment horizontal="center" vertical="center"/>
    </xf>
    <xf numFmtId="0" fontId="2" fillId="0" borderId="4" xfId="0" applyFont="1" applyBorder="1" applyAlignment="1">
      <alignment horizontal="left" wrapText="1"/>
    </xf>
    <xf numFmtId="0" fontId="5" fillId="0" borderId="4" xfId="0" applyFont="1" applyBorder="1" applyAlignment="1">
      <alignment wrapText="1"/>
    </xf>
    <xf numFmtId="0" fontId="5" fillId="0" borderId="0" xfId="0" applyFont="1" applyBorder="1" applyAlignment="1">
      <alignment wrapText="1"/>
    </xf>
    <xf numFmtId="0" fontId="2" fillId="0" borderId="12" xfId="0" applyFont="1" applyBorder="1" applyAlignment="1">
      <alignment horizontal="center"/>
    </xf>
    <xf numFmtId="0" fontId="2" fillId="0" borderId="6" xfId="0" applyFont="1" applyBorder="1" applyAlignment="1">
      <alignment horizontal="center"/>
    </xf>
    <xf numFmtId="0" fontId="2" fillId="0" borderId="9" xfId="0" applyFont="1" applyFill="1" applyBorder="1" applyAlignment="1">
      <alignment horizontal="center" vertical="center"/>
    </xf>
    <xf numFmtId="0" fontId="5" fillId="0" borderId="1" xfId="0" applyFont="1" applyFill="1" applyBorder="1" applyAlignment="1"/>
    <xf numFmtId="0" fontId="2" fillId="0" borderId="9" xfId="0" applyFont="1" applyFill="1" applyBorder="1" applyAlignment="1">
      <alignment horizontal="center" vertical="center" wrapText="1"/>
    </xf>
    <xf numFmtId="0" fontId="5" fillId="0" borderId="1" xfId="0" applyFont="1" applyFill="1" applyBorder="1" applyAlignment="1">
      <alignment horizontal="center"/>
    </xf>
    <xf numFmtId="0" fontId="2" fillId="0" borderId="0" xfId="0" quotePrefix="1" applyFont="1" applyBorder="1" applyAlignment="1">
      <alignment vertical="center"/>
    </xf>
    <xf numFmtId="0" fontId="5" fillId="0" borderId="0" xfId="0" applyFont="1" applyBorder="1" applyAlignment="1">
      <alignment vertical="center"/>
    </xf>
    <xf numFmtId="0" fontId="2" fillId="0" borderId="1" xfId="0" applyFont="1" applyFill="1" applyBorder="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center"/>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left" vertical="center" wrapText="1"/>
    </xf>
    <xf numFmtId="0" fontId="5" fillId="0" borderId="3" xfId="0" applyFont="1" applyBorder="1" applyAlignment="1">
      <alignment horizontal="center"/>
    </xf>
    <xf numFmtId="0" fontId="2" fillId="0" borderId="0" xfId="0" applyFont="1" applyBorder="1" applyAlignment="1">
      <alignment horizontal="left" wrapText="1"/>
    </xf>
    <xf numFmtId="0" fontId="2" fillId="0" borderId="4" xfId="0" applyFont="1" applyBorder="1" applyAlignment="1">
      <alignment vertical="center"/>
    </xf>
    <xf numFmtId="0" fontId="5" fillId="0" borderId="4" xfId="0" applyFont="1" applyBorder="1" applyAlignment="1">
      <alignment vertical="center"/>
    </xf>
    <xf numFmtId="0" fontId="6" fillId="0" borderId="4" xfId="0" applyFont="1" applyBorder="1" applyAlignment="1"/>
    <xf numFmtId="0" fontId="7" fillId="0" borderId="4" xfId="0" applyFont="1" applyBorder="1" applyAlignment="1"/>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tabSelected="1" workbookViewId="0">
      <selection activeCell="B1" sqref="B1"/>
    </sheetView>
  </sheetViews>
  <sheetFormatPr defaultRowHeight="15"/>
  <cols>
    <col min="1" max="1" width="109.5" style="2" customWidth="1"/>
  </cols>
  <sheetData>
    <row r="1" spans="1:1" ht="15.75">
      <c r="A1" s="272" t="s">
        <v>91</v>
      </c>
    </row>
    <row r="2" spans="1:1">
      <c r="A2" s="271"/>
    </row>
    <row r="3" spans="1:1" ht="15.75">
      <c r="A3" s="202" t="s">
        <v>65</v>
      </c>
    </row>
    <row r="4" spans="1:1">
      <c r="A4" s="201" t="s">
        <v>565</v>
      </c>
    </row>
    <row r="6" spans="1:1" ht="15.75">
      <c r="A6" s="202" t="s">
        <v>66</v>
      </c>
    </row>
    <row r="7" spans="1:1">
      <c r="A7" s="201" t="s">
        <v>565</v>
      </c>
    </row>
    <row r="9" spans="1:1" ht="15.75">
      <c r="A9" s="202" t="s">
        <v>67</v>
      </c>
    </row>
    <row r="10" spans="1:1">
      <c r="A10" s="201" t="s">
        <v>566</v>
      </c>
    </row>
    <row r="12" spans="1:1" ht="15.75">
      <c r="A12" s="202" t="s">
        <v>596</v>
      </c>
    </row>
    <row r="13" spans="1:1">
      <c r="A13" s="201" t="s">
        <v>566</v>
      </c>
    </row>
    <row r="15" spans="1:1" ht="15.75">
      <c r="A15" s="212" t="s">
        <v>563</v>
      </c>
    </row>
    <row r="16" spans="1:1">
      <c r="A16" s="2" t="s">
        <v>565</v>
      </c>
    </row>
    <row r="18" spans="1:1" ht="15.75">
      <c r="A18" s="212" t="s">
        <v>564</v>
      </c>
    </row>
    <row r="19" spans="1:1">
      <c r="A19" s="2" t="s">
        <v>565</v>
      </c>
    </row>
    <row r="21" spans="1:1" ht="18.75">
      <c r="A21" s="202" t="s">
        <v>68</v>
      </c>
    </row>
    <row r="22" spans="1:1" ht="36" customHeight="1">
      <c r="A22" s="214" t="s">
        <v>559</v>
      </c>
    </row>
    <row r="23" spans="1:1">
      <c r="A23" s="201" t="s">
        <v>565</v>
      </c>
    </row>
    <row r="24" spans="1:1">
      <c r="A24" s="201"/>
    </row>
    <row r="25" spans="1:1" ht="15.75">
      <c r="A25" s="202" t="s">
        <v>597</v>
      </c>
    </row>
    <row r="26" spans="1:1">
      <c r="A26" s="201" t="s">
        <v>567</v>
      </c>
    </row>
    <row r="27" spans="1:1">
      <c r="A27" s="201"/>
    </row>
    <row r="28" spans="1:1" ht="15.75">
      <c r="A28" s="202" t="s">
        <v>598</v>
      </c>
    </row>
    <row r="29" spans="1:1">
      <c r="A29" s="201" t="s">
        <v>567</v>
      </c>
    </row>
    <row r="30" spans="1:1">
      <c r="A30" s="201"/>
    </row>
    <row r="31" spans="1:1" ht="15.75">
      <c r="A31" s="203" t="s">
        <v>599</v>
      </c>
    </row>
    <row r="32" spans="1:1">
      <c r="A32" s="45" t="s">
        <v>567</v>
      </c>
    </row>
    <row r="33" spans="1:16">
      <c r="A33" s="201"/>
    </row>
    <row r="34" spans="1:16" ht="15.75">
      <c r="A34" s="203" t="s">
        <v>600</v>
      </c>
    </row>
    <row r="35" spans="1:16">
      <c r="A35" s="45" t="s">
        <v>567</v>
      </c>
    </row>
    <row r="36" spans="1:16">
      <c r="A36" s="201"/>
    </row>
    <row r="37" spans="1:16" ht="15.75">
      <c r="A37" s="204" t="s">
        <v>601</v>
      </c>
    </row>
    <row r="38" spans="1:16">
      <c r="A38" s="45" t="s">
        <v>567</v>
      </c>
    </row>
    <row r="40" spans="1:16" ht="15.75">
      <c r="A40" s="203" t="s">
        <v>602</v>
      </c>
    </row>
    <row r="41" spans="1:16" ht="15" customHeight="1">
      <c r="A41" s="45" t="s">
        <v>567</v>
      </c>
    </row>
    <row r="43" spans="1:16" ht="15.75">
      <c r="A43" s="203" t="s">
        <v>603</v>
      </c>
      <c r="B43" s="45"/>
      <c r="C43" s="45"/>
      <c r="D43" s="45"/>
      <c r="E43" s="45"/>
      <c r="F43" s="45"/>
      <c r="G43" s="45"/>
      <c r="H43" s="45"/>
      <c r="I43" s="45"/>
      <c r="J43" s="45"/>
      <c r="K43" s="45"/>
      <c r="L43" s="45"/>
      <c r="M43" s="45"/>
      <c r="N43" s="45"/>
      <c r="O43" s="45"/>
      <c r="P43" s="45"/>
    </row>
    <row r="44" spans="1:16">
      <c r="A44" s="45" t="s">
        <v>567</v>
      </c>
      <c r="B44" s="45"/>
      <c r="C44" s="45"/>
      <c r="D44" s="45"/>
      <c r="E44" s="45"/>
      <c r="F44" s="45"/>
      <c r="G44" s="45"/>
      <c r="H44" s="45"/>
      <c r="I44" s="45"/>
      <c r="J44" s="45"/>
      <c r="K44" s="45"/>
      <c r="L44" s="45"/>
      <c r="M44" s="45"/>
      <c r="N44" s="45"/>
      <c r="O44" s="45"/>
      <c r="P44" s="45"/>
    </row>
    <row r="45" spans="1:16">
      <c r="A45" s="45"/>
      <c r="B45" s="45"/>
      <c r="C45" s="45"/>
      <c r="D45" s="45"/>
      <c r="E45" s="45"/>
      <c r="F45" s="45"/>
      <c r="G45" s="45"/>
      <c r="H45" s="45"/>
      <c r="I45" s="45"/>
      <c r="J45" s="45"/>
      <c r="K45" s="45"/>
      <c r="L45" s="45"/>
      <c r="M45" s="45"/>
      <c r="N45" s="45"/>
      <c r="O45" s="45"/>
      <c r="P45" s="45"/>
    </row>
    <row r="46" spans="1:16" ht="15.75">
      <c r="A46" s="202" t="s">
        <v>69</v>
      </c>
    </row>
    <row r="47" spans="1:16" ht="15" customHeight="1">
      <c r="A47" s="201" t="s">
        <v>567</v>
      </c>
    </row>
    <row r="49" spans="1:1" ht="15.75">
      <c r="A49" s="202" t="s">
        <v>70</v>
      </c>
    </row>
    <row r="50" spans="1:1" ht="15" customHeight="1">
      <c r="A50" s="201" t="s">
        <v>568</v>
      </c>
    </row>
    <row r="52" spans="1:1" ht="15.75">
      <c r="A52" s="202" t="s">
        <v>71</v>
      </c>
    </row>
    <row r="53" spans="1:1" ht="15" customHeight="1">
      <c r="A53" s="201" t="s">
        <v>569</v>
      </c>
    </row>
    <row r="55" spans="1:1" ht="15.75">
      <c r="A55" s="202" t="s">
        <v>72</v>
      </c>
    </row>
    <row r="56" spans="1:1" ht="15" customHeight="1">
      <c r="A56" s="201" t="s">
        <v>570</v>
      </c>
    </row>
    <row r="58" spans="1:1" ht="15.75">
      <c r="A58" s="202" t="s">
        <v>73</v>
      </c>
    </row>
    <row r="59" spans="1:1" ht="15" customHeight="1">
      <c r="A59" s="201" t="s">
        <v>572</v>
      </c>
    </row>
    <row r="61" spans="1:1" ht="15.75">
      <c r="A61" s="202" t="s">
        <v>74</v>
      </c>
    </row>
    <row r="62" spans="1:1" ht="15" customHeight="1">
      <c r="A62" s="201" t="s">
        <v>574</v>
      </c>
    </row>
    <row r="64" spans="1:1" ht="15.75">
      <c r="A64" s="202" t="s">
        <v>75</v>
      </c>
    </row>
    <row r="65" spans="1:1">
      <c r="A65" s="201" t="s">
        <v>571</v>
      </c>
    </row>
    <row r="67" spans="1:1" ht="15.75">
      <c r="A67" s="202" t="s">
        <v>76</v>
      </c>
    </row>
    <row r="68" spans="1:1" ht="15" customHeight="1">
      <c r="A68" s="201" t="s">
        <v>573</v>
      </c>
    </row>
    <row r="70" spans="1:1" ht="15.75">
      <c r="A70" s="202" t="s">
        <v>77</v>
      </c>
    </row>
    <row r="71" spans="1:1" ht="15" customHeight="1">
      <c r="A71" s="201" t="s">
        <v>575</v>
      </c>
    </row>
    <row r="73" spans="1:1" ht="15.75">
      <c r="A73" s="202" t="s">
        <v>78</v>
      </c>
    </row>
    <row r="74" spans="1:1" ht="15" customHeight="1">
      <c r="A74" s="201" t="s">
        <v>577</v>
      </c>
    </row>
    <row r="76" spans="1:1" ht="15.75">
      <c r="A76" s="201" t="s">
        <v>79</v>
      </c>
    </row>
    <row r="77" spans="1:1" ht="15" customHeight="1">
      <c r="A77" s="201" t="s">
        <v>577</v>
      </c>
    </row>
    <row r="79" spans="1:1" ht="15.75">
      <c r="A79" s="202" t="s">
        <v>80</v>
      </c>
    </row>
    <row r="80" spans="1:1" ht="15" customHeight="1">
      <c r="A80" s="201" t="s">
        <v>577</v>
      </c>
    </row>
    <row r="82" spans="1:1" ht="15.75">
      <c r="A82" s="202" t="s">
        <v>81</v>
      </c>
    </row>
    <row r="83" spans="1:1" ht="15" customHeight="1">
      <c r="A83" s="201" t="s">
        <v>577</v>
      </c>
    </row>
    <row r="85" spans="1:1" ht="15.75">
      <c r="A85" s="202" t="s">
        <v>82</v>
      </c>
    </row>
    <row r="86" spans="1:1" ht="15" customHeight="1">
      <c r="A86" s="201" t="s">
        <v>577</v>
      </c>
    </row>
    <row r="88" spans="1:1" ht="15.75">
      <c r="A88" s="202" t="s">
        <v>83</v>
      </c>
    </row>
    <row r="89" spans="1:1" ht="15" customHeight="1">
      <c r="A89" s="201" t="s">
        <v>577</v>
      </c>
    </row>
    <row r="91" spans="1:1" ht="15.75">
      <c r="A91" s="201" t="s">
        <v>84</v>
      </c>
    </row>
    <row r="92" spans="1:1" ht="15" customHeight="1">
      <c r="A92" s="201" t="s">
        <v>577</v>
      </c>
    </row>
    <row r="94" spans="1:1" ht="15.75">
      <c r="A94" s="202" t="s">
        <v>85</v>
      </c>
    </row>
    <row r="95" spans="1:1" ht="15" customHeight="1">
      <c r="A95" s="201" t="s">
        <v>577</v>
      </c>
    </row>
    <row r="97" spans="1:1" ht="15.75">
      <c r="A97" s="202" t="s">
        <v>86</v>
      </c>
    </row>
    <row r="98" spans="1:1" ht="15" customHeight="1">
      <c r="A98" s="201" t="s">
        <v>577</v>
      </c>
    </row>
    <row r="100" spans="1:1" ht="15.75">
      <c r="A100" s="202" t="s">
        <v>87</v>
      </c>
    </row>
    <row r="101" spans="1:1">
      <c r="A101" s="201" t="s">
        <v>577</v>
      </c>
    </row>
    <row r="102" spans="1:1">
      <c r="A102" s="201"/>
    </row>
    <row r="103" spans="1:1" ht="15.75">
      <c r="A103" s="201" t="s">
        <v>88</v>
      </c>
    </row>
    <row r="104" spans="1:1" ht="15" customHeight="1">
      <c r="A104" s="201" t="s">
        <v>577</v>
      </c>
    </row>
    <row r="106" spans="1:1" ht="15.75">
      <c r="A106" s="202" t="s">
        <v>89</v>
      </c>
    </row>
    <row r="107" spans="1:1" ht="15" customHeight="1">
      <c r="A107" s="201" t="s">
        <v>579</v>
      </c>
    </row>
    <row r="109" spans="1:1" ht="15.75">
      <c r="A109" s="202" t="s">
        <v>90</v>
      </c>
    </row>
    <row r="110" spans="1:1" ht="15" customHeight="1">
      <c r="A110" s="201" t="s">
        <v>577</v>
      </c>
    </row>
    <row r="112" spans="1:1">
      <c r="A112" s="201" t="s">
        <v>120</v>
      </c>
    </row>
    <row r="113" spans="1:1">
      <c r="A113" s="201" t="s">
        <v>577</v>
      </c>
    </row>
    <row r="114" spans="1:1">
      <c r="A114" s="201"/>
    </row>
    <row r="115" spans="1:1">
      <c r="A115" s="201" t="s">
        <v>119</v>
      </c>
    </row>
    <row r="116" spans="1:1">
      <c r="A116" s="201" t="s">
        <v>581</v>
      </c>
    </row>
    <row r="117" spans="1:1">
      <c r="A117" s="201"/>
    </row>
    <row r="118" spans="1:1">
      <c r="A118" s="201" t="s">
        <v>118</v>
      </c>
    </row>
    <row r="119" spans="1:1">
      <c r="A119" s="201" t="s">
        <v>581</v>
      </c>
    </row>
    <row r="120" spans="1:1">
      <c r="A120" s="201"/>
    </row>
    <row r="121" spans="1:1">
      <c r="A121" s="201" t="s">
        <v>117</v>
      </c>
    </row>
    <row r="122" spans="1:1">
      <c r="A122" s="201" t="s">
        <v>581</v>
      </c>
    </row>
    <row r="123" spans="1:1">
      <c r="A123" s="201"/>
    </row>
    <row r="124" spans="1:1" ht="15.75">
      <c r="A124" s="203" t="s">
        <v>604</v>
      </c>
    </row>
    <row r="125" spans="1:1">
      <c r="A125" s="45" t="s">
        <v>567</v>
      </c>
    </row>
    <row r="126" spans="1:1">
      <c r="A126" s="201"/>
    </row>
    <row r="127" spans="1:1" ht="15.75">
      <c r="A127" s="203" t="s">
        <v>605</v>
      </c>
    </row>
    <row r="128" spans="1:1" ht="15" customHeight="1">
      <c r="A128" s="45" t="s">
        <v>567</v>
      </c>
    </row>
    <row r="130" spans="1:1" ht="15.75">
      <c r="A130" s="203" t="s">
        <v>606</v>
      </c>
    </row>
    <row r="131" spans="1:1" ht="15" customHeight="1">
      <c r="A131" s="45" t="s">
        <v>567</v>
      </c>
    </row>
    <row r="133" spans="1:1" ht="15.75">
      <c r="A133" s="203" t="s">
        <v>607</v>
      </c>
    </row>
    <row r="134" spans="1:1">
      <c r="A134" s="45" t="s">
        <v>567</v>
      </c>
    </row>
  </sheetData>
  <phoneticPr fontId="1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workbookViewId="0"/>
  </sheetViews>
  <sheetFormatPr defaultRowHeight="15"/>
  <cols>
    <col min="1" max="1" width="3.1640625" style="2" customWidth="1"/>
    <col min="2" max="2" width="20.6640625" style="2" customWidth="1"/>
    <col min="3" max="4" width="11.5" style="2" customWidth="1"/>
    <col min="5" max="5" width="12.5" style="2" customWidth="1"/>
    <col min="6" max="7" width="11.5" style="2" customWidth="1"/>
    <col min="8" max="8" width="12.6640625" style="2" customWidth="1"/>
    <col min="9" max="9" width="11.5" style="2" customWidth="1"/>
    <col min="10" max="10" width="13.83203125" style="2" customWidth="1"/>
    <col min="11" max="11" width="12" style="2" customWidth="1"/>
    <col min="12" max="12" width="14.1640625" style="2" customWidth="1"/>
    <col min="13" max="13" width="10.6640625" style="2" customWidth="1"/>
    <col min="14" max="16384" width="9.33203125" style="2"/>
  </cols>
  <sheetData>
    <row r="1" spans="1:13" ht="15.75">
      <c r="A1" s="1"/>
    </row>
    <row r="2" spans="1:13">
      <c r="B2" s="3" t="s">
        <v>416</v>
      </c>
      <c r="C2" s="4"/>
      <c r="D2" s="4"/>
      <c r="E2" s="4"/>
      <c r="F2" s="4"/>
      <c r="G2" s="4"/>
      <c r="H2" s="4"/>
      <c r="I2" s="4"/>
      <c r="J2" s="4"/>
      <c r="K2" s="4"/>
    </row>
    <row r="3" spans="1:13" ht="15.75">
      <c r="B3" s="5" t="s">
        <v>417</v>
      </c>
      <c r="C3" s="4"/>
      <c r="D3" s="4"/>
      <c r="E3" s="4"/>
      <c r="F3" s="4"/>
      <c r="G3" s="4"/>
      <c r="H3" s="4"/>
      <c r="I3" s="4"/>
      <c r="J3" s="4"/>
      <c r="K3" s="4"/>
    </row>
    <row r="4" spans="1:13">
      <c r="B4" s="3" t="s">
        <v>567</v>
      </c>
      <c r="C4" s="4"/>
      <c r="D4" s="4"/>
      <c r="E4" s="4"/>
      <c r="F4" s="4"/>
      <c r="G4" s="4"/>
      <c r="H4" s="4"/>
      <c r="I4" s="4"/>
      <c r="J4" s="4"/>
      <c r="K4" s="4"/>
    </row>
    <row r="5" spans="1:13" ht="60">
      <c r="B5" s="35" t="s">
        <v>324</v>
      </c>
      <c r="C5" s="74" t="s">
        <v>172</v>
      </c>
      <c r="D5" s="74" t="s">
        <v>173</v>
      </c>
      <c r="E5" s="74" t="s">
        <v>326</v>
      </c>
      <c r="F5" s="74" t="s">
        <v>327</v>
      </c>
      <c r="G5" s="74" t="s">
        <v>328</v>
      </c>
      <c r="H5" s="74" t="s">
        <v>329</v>
      </c>
      <c r="I5" s="74" t="s">
        <v>330</v>
      </c>
      <c r="J5" s="74" t="s">
        <v>179</v>
      </c>
      <c r="K5" s="75" t="s">
        <v>331</v>
      </c>
      <c r="L5" s="37"/>
    </row>
    <row r="6" spans="1:13" ht="15" customHeight="1">
      <c r="B6" s="97" t="s">
        <v>156</v>
      </c>
      <c r="C6" s="98">
        <v>9.3000000000000007</v>
      </c>
      <c r="D6" s="98">
        <v>11.5</v>
      </c>
      <c r="E6" s="98">
        <v>8.3000000000000007</v>
      </c>
      <c r="F6" s="98">
        <v>7</v>
      </c>
      <c r="G6" s="98">
        <v>4.8</v>
      </c>
      <c r="H6" s="98">
        <v>8.5</v>
      </c>
      <c r="I6" s="98">
        <v>4.7</v>
      </c>
      <c r="J6" s="98">
        <v>11.2</v>
      </c>
      <c r="K6" s="98">
        <v>6.4</v>
      </c>
      <c r="L6" s="82"/>
      <c r="M6" s="37"/>
    </row>
    <row r="7" spans="1:13" ht="12.75" customHeight="1">
      <c r="B7" s="83"/>
      <c r="C7" s="99"/>
      <c r="D7" s="99"/>
      <c r="E7" s="99"/>
      <c r="F7" s="99"/>
      <c r="G7" s="99"/>
      <c r="H7" s="99"/>
      <c r="I7" s="99"/>
      <c r="J7" s="99"/>
      <c r="K7" s="99"/>
      <c r="L7" s="82"/>
      <c r="M7" s="37"/>
    </row>
    <row r="8" spans="1:13" ht="15" customHeight="1">
      <c r="B8" s="88" t="s">
        <v>332</v>
      </c>
      <c r="C8" s="46">
        <v>17.5</v>
      </c>
      <c r="D8" s="46">
        <v>5.6</v>
      </c>
      <c r="E8" s="100" t="s">
        <v>292</v>
      </c>
      <c r="F8" s="100" t="s">
        <v>284</v>
      </c>
      <c r="G8" s="100" t="s">
        <v>284</v>
      </c>
      <c r="H8" s="100" t="s">
        <v>292</v>
      </c>
      <c r="I8" s="100" t="s">
        <v>292</v>
      </c>
      <c r="J8" s="101">
        <v>10</v>
      </c>
      <c r="K8" s="101">
        <v>5.0999999999999996</v>
      </c>
      <c r="L8" s="82"/>
      <c r="M8" s="37"/>
    </row>
    <row r="9" spans="1:13" ht="15" customHeight="1">
      <c r="B9" s="88" t="s">
        <v>333</v>
      </c>
      <c r="C9" s="46">
        <v>10.7</v>
      </c>
      <c r="D9" s="46">
        <v>7.5</v>
      </c>
      <c r="E9" s="100" t="s">
        <v>292</v>
      </c>
      <c r="F9" s="100" t="s">
        <v>284</v>
      </c>
      <c r="G9" s="100" t="s">
        <v>284</v>
      </c>
      <c r="H9" s="100" t="s">
        <v>284</v>
      </c>
      <c r="I9" s="100" t="s">
        <v>284</v>
      </c>
      <c r="J9" s="101">
        <v>10.3</v>
      </c>
      <c r="K9" s="101">
        <v>7.8</v>
      </c>
      <c r="L9" s="92"/>
      <c r="M9" s="37"/>
    </row>
    <row r="10" spans="1:13" ht="15" customHeight="1">
      <c r="B10" s="88" t="s">
        <v>334</v>
      </c>
      <c r="C10" s="46">
        <v>8.4</v>
      </c>
      <c r="D10" s="46">
        <v>11.5</v>
      </c>
      <c r="E10" s="46">
        <v>6.5</v>
      </c>
      <c r="F10" s="100">
        <v>6.9</v>
      </c>
      <c r="G10" s="100" t="s">
        <v>292</v>
      </c>
      <c r="H10" s="100" t="s">
        <v>292</v>
      </c>
      <c r="I10" s="100" t="s">
        <v>292</v>
      </c>
      <c r="J10" s="101">
        <v>12.3</v>
      </c>
      <c r="K10" s="101">
        <v>7.3</v>
      </c>
      <c r="L10" s="82"/>
      <c r="M10" s="37"/>
    </row>
    <row r="11" spans="1:13" ht="15" customHeight="1">
      <c r="B11" s="88" t="s">
        <v>335</v>
      </c>
      <c r="C11" s="46">
        <v>12.2</v>
      </c>
      <c r="D11" s="46">
        <v>9</v>
      </c>
      <c r="E11" s="46">
        <v>6.5</v>
      </c>
      <c r="F11" s="100" t="s">
        <v>292</v>
      </c>
      <c r="G11" s="100" t="s">
        <v>292</v>
      </c>
      <c r="H11" s="100" t="s">
        <v>292</v>
      </c>
      <c r="I11" s="100" t="s">
        <v>292</v>
      </c>
      <c r="J11" s="101">
        <v>12.7</v>
      </c>
      <c r="K11" s="101">
        <v>7.6</v>
      </c>
      <c r="L11" s="82"/>
      <c r="M11" s="37"/>
    </row>
    <row r="12" spans="1:13" ht="15" customHeight="1">
      <c r="B12" s="88" t="s">
        <v>336</v>
      </c>
      <c r="C12" s="46">
        <v>11.6</v>
      </c>
      <c r="D12" s="46">
        <v>8.4</v>
      </c>
      <c r="E12" s="46">
        <v>9.6</v>
      </c>
      <c r="F12" s="100" t="s">
        <v>292</v>
      </c>
      <c r="G12" s="100" t="s">
        <v>292</v>
      </c>
      <c r="H12" s="100" t="s">
        <v>292</v>
      </c>
      <c r="I12" s="100" t="s">
        <v>292</v>
      </c>
      <c r="J12" s="101">
        <v>12</v>
      </c>
      <c r="K12" s="101">
        <v>6</v>
      </c>
      <c r="L12" s="92"/>
      <c r="M12" s="37"/>
    </row>
    <row r="13" spans="1:13" ht="12.75" customHeight="1">
      <c r="B13" s="88"/>
      <c r="C13" s="46"/>
      <c r="D13" s="46"/>
      <c r="E13" s="46"/>
      <c r="F13" s="101"/>
      <c r="G13" s="101"/>
      <c r="H13" s="101"/>
      <c r="I13" s="101"/>
      <c r="J13" s="101"/>
      <c r="K13" s="101"/>
      <c r="L13" s="92"/>
      <c r="M13" s="37"/>
    </row>
    <row r="14" spans="1:13" ht="15" customHeight="1">
      <c r="B14" s="88" t="s">
        <v>337</v>
      </c>
      <c r="C14" s="46">
        <v>14.3</v>
      </c>
      <c r="D14" s="46">
        <v>7.1</v>
      </c>
      <c r="E14" s="46">
        <v>9.1</v>
      </c>
      <c r="F14" s="100" t="s">
        <v>292</v>
      </c>
      <c r="G14" s="100" t="s">
        <v>292</v>
      </c>
      <c r="H14" s="100" t="s">
        <v>292</v>
      </c>
      <c r="I14" s="100" t="s">
        <v>292</v>
      </c>
      <c r="J14" s="101">
        <v>11.5</v>
      </c>
      <c r="K14" s="101">
        <v>4.8</v>
      </c>
      <c r="L14" s="92"/>
      <c r="M14" s="37"/>
    </row>
    <row r="15" spans="1:13" ht="15" customHeight="1">
      <c r="B15" s="88" t="s">
        <v>338</v>
      </c>
      <c r="C15" s="46">
        <v>11.7</v>
      </c>
      <c r="D15" s="46">
        <v>9.1</v>
      </c>
      <c r="E15" s="46">
        <v>7.6</v>
      </c>
      <c r="F15" s="100" t="s">
        <v>292</v>
      </c>
      <c r="G15" s="100" t="s">
        <v>292</v>
      </c>
      <c r="H15" s="100" t="s">
        <v>292</v>
      </c>
      <c r="I15" s="100" t="s">
        <v>292</v>
      </c>
      <c r="J15" s="101">
        <v>9.9</v>
      </c>
      <c r="K15" s="101">
        <v>4.0999999999999996</v>
      </c>
      <c r="L15" s="92"/>
      <c r="M15" s="37"/>
    </row>
    <row r="16" spans="1:13" ht="15" customHeight="1">
      <c r="B16" s="88" t="s">
        <v>339</v>
      </c>
      <c r="C16" s="46">
        <v>9.1</v>
      </c>
      <c r="D16" s="46">
        <v>9.8000000000000007</v>
      </c>
      <c r="E16" s="46">
        <v>5.9</v>
      </c>
      <c r="F16" s="100" t="s">
        <v>292</v>
      </c>
      <c r="G16" s="100" t="s">
        <v>292</v>
      </c>
      <c r="H16" s="100">
        <v>13.8</v>
      </c>
      <c r="I16" s="100">
        <v>12.1</v>
      </c>
      <c r="J16" s="101">
        <v>11.8</v>
      </c>
      <c r="K16" s="101">
        <v>7.6</v>
      </c>
      <c r="L16" s="82"/>
      <c r="M16" s="37"/>
    </row>
    <row r="17" spans="2:13" ht="15" customHeight="1">
      <c r="B17" s="88" t="s">
        <v>340</v>
      </c>
      <c r="C17" s="46">
        <v>10.8</v>
      </c>
      <c r="D17" s="46">
        <v>9.8000000000000007</v>
      </c>
      <c r="E17" s="46">
        <v>6.7</v>
      </c>
      <c r="F17" s="100" t="s">
        <v>292</v>
      </c>
      <c r="G17" s="100" t="s">
        <v>284</v>
      </c>
      <c r="H17" s="46">
        <v>5.8</v>
      </c>
      <c r="I17" s="100">
        <v>5.8</v>
      </c>
      <c r="J17" s="101">
        <v>11.3</v>
      </c>
      <c r="K17" s="101">
        <v>6.9</v>
      </c>
      <c r="L17" s="82"/>
      <c r="M17" s="37"/>
    </row>
    <row r="18" spans="2:13" ht="15" customHeight="1">
      <c r="B18" s="88" t="s">
        <v>341</v>
      </c>
      <c r="C18" s="46">
        <v>12.5</v>
      </c>
      <c r="D18" s="46">
        <v>9</v>
      </c>
      <c r="E18" s="46">
        <v>8.3000000000000007</v>
      </c>
      <c r="F18" s="100" t="s">
        <v>292</v>
      </c>
      <c r="G18" s="100" t="s">
        <v>292</v>
      </c>
      <c r="H18" s="100" t="s">
        <v>292</v>
      </c>
      <c r="I18" s="100" t="s">
        <v>292</v>
      </c>
      <c r="J18" s="101">
        <v>15</v>
      </c>
      <c r="K18" s="101">
        <v>7.3</v>
      </c>
      <c r="L18" s="92"/>
      <c r="M18" s="37"/>
    </row>
    <row r="19" spans="2:13" ht="12.75" customHeight="1">
      <c r="B19" s="83"/>
      <c r="C19" s="46"/>
      <c r="D19" s="46"/>
      <c r="E19" s="46"/>
      <c r="F19" s="101"/>
      <c r="G19" s="101"/>
      <c r="H19" s="101"/>
      <c r="I19" s="101"/>
      <c r="J19" s="101"/>
      <c r="K19" s="101"/>
      <c r="L19" s="84"/>
      <c r="M19" s="37"/>
    </row>
    <row r="20" spans="2:13" ht="15" customHeight="1">
      <c r="B20" s="88" t="s">
        <v>342</v>
      </c>
      <c r="C20" s="46">
        <v>10.6</v>
      </c>
      <c r="D20" s="46">
        <v>12.2</v>
      </c>
      <c r="E20" s="46">
        <v>7.5</v>
      </c>
      <c r="F20" s="101">
        <v>7.4</v>
      </c>
      <c r="G20" s="46">
        <v>4.2</v>
      </c>
      <c r="H20" s="46">
        <v>10</v>
      </c>
      <c r="I20" s="101">
        <v>6.3</v>
      </c>
      <c r="J20" s="101">
        <v>14.5</v>
      </c>
      <c r="K20" s="101">
        <v>6.5</v>
      </c>
      <c r="L20" s="82"/>
      <c r="M20" s="37"/>
    </row>
    <row r="21" spans="2:13" ht="15" customHeight="1">
      <c r="B21" s="88" t="s">
        <v>343</v>
      </c>
      <c r="C21" s="46">
        <v>10.5</v>
      </c>
      <c r="D21" s="46">
        <v>13</v>
      </c>
      <c r="E21" s="46">
        <v>6.9</v>
      </c>
      <c r="F21" s="100" t="s">
        <v>292</v>
      </c>
      <c r="G21" s="100" t="s">
        <v>292</v>
      </c>
      <c r="H21" s="100" t="s">
        <v>292</v>
      </c>
      <c r="I21" s="100" t="s">
        <v>292</v>
      </c>
      <c r="J21" s="101">
        <v>13</v>
      </c>
      <c r="K21" s="101">
        <v>7.2</v>
      </c>
      <c r="L21" s="82"/>
      <c r="M21" s="37"/>
    </row>
    <row r="22" spans="2:13" ht="15" customHeight="1">
      <c r="B22" s="88" t="s">
        <v>344</v>
      </c>
      <c r="C22" s="46">
        <v>10.5</v>
      </c>
      <c r="D22" s="46">
        <v>12.6</v>
      </c>
      <c r="E22" s="46">
        <v>8.3000000000000007</v>
      </c>
      <c r="F22" s="101">
        <v>6.5</v>
      </c>
      <c r="G22" s="46">
        <v>4.7</v>
      </c>
      <c r="H22" s="46">
        <v>6.5</v>
      </c>
      <c r="I22" s="101">
        <v>3.5</v>
      </c>
      <c r="J22" s="101">
        <v>13.3</v>
      </c>
      <c r="K22" s="101">
        <v>7.9</v>
      </c>
      <c r="L22" s="82"/>
      <c r="M22" s="37"/>
    </row>
    <row r="23" spans="2:13" ht="15" customHeight="1">
      <c r="B23" s="88" t="s">
        <v>345</v>
      </c>
      <c r="C23" s="46">
        <v>10.3</v>
      </c>
      <c r="D23" s="46">
        <v>9.1</v>
      </c>
      <c r="E23" s="46">
        <v>6.6</v>
      </c>
      <c r="F23" s="100" t="s">
        <v>292</v>
      </c>
      <c r="G23" s="100" t="s">
        <v>284</v>
      </c>
      <c r="H23" s="100" t="s">
        <v>292</v>
      </c>
      <c r="I23" s="100" t="s">
        <v>292</v>
      </c>
      <c r="J23" s="101">
        <v>10.8</v>
      </c>
      <c r="K23" s="101">
        <v>7.6</v>
      </c>
      <c r="L23" s="82"/>
      <c r="M23" s="37"/>
    </row>
    <row r="24" spans="2:13" ht="15" customHeight="1">
      <c r="B24" s="88" t="s">
        <v>346</v>
      </c>
      <c r="C24" s="46">
        <v>11.1</v>
      </c>
      <c r="D24" s="46">
        <v>8.6999999999999993</v>
      </c>
      <c r="E24" s="46">
        <v>7</v>
      </c>
      <c r="F24" s="100" t="s">
        <v>284</v>
      </c>
      <c r="G24" s="100" t="s">
        <v>284</v>
      </c>
      <c r="H24" s="100" t="s">
        <v>292</v>
      </c>
      <c r="I24" s="100" t="s">
        <v>292</v>
      </c>
      <c r="J24" s="101">
        <v>15</v>
      </c>
      <c r="K24" s="101">
        <v>7.8</v>
      </c>
      <c r="L24" s="82"/>
      <c r="M24" s="37"/>
    </row>
    <row r="25" spans="2:13" ht="12.75" customHeight="1">
      <c r="B25" s="88"/>
      <c r="C25" s="46"/>
      <c r="D25" s="46"/>
      <c r="E25" s="46"/>
      <c r="F25" s="101"/>
      <c r="G25" s="101"/>
      <c r="H25" s="101"/>
      <c r="I25" s="101"/>
      <c r="J25" s="101"/>
      <c r="K25" s="101"/>
      <c r="L25" s="82"/>
      <c r="M25" s="37"/>
    </row>
    <row r="26" spans="2:13" ht="15" customHeight="1">
      <c r="B26" s="88" t="s">
        <v>347</v>
      </c>
      <c r="C26" s="46">
        <v>11.1</v>
      </c>
      <c r="D26" s="46">
        <v>7.5</v>
      </c>
      <c r="E26" s="46">
        <v>4.2</v>
      </c>
      <c r="F26" s="100" t="s">
        <v>284</v>
      </c>
      <c r="G26" s="100" t="s">
        <v>284</v>
      </c>
      <c r="H26" s="100" t="s">
        <v>292</v>
      </c>
      <c r="I26" s="100" t="s">
        <v>292</v>
      </c>
      <c r="J26" s="101">
        <v>12.4</v>
      </c>
      <c r="K26" s="101">
        <v>6.4</v>
      </c>
      <c r="L26" s="82"/>
      <c r="M26" s="37"/>
    </row>
    <row r="27" spans="2:13" ht="15" customHeight="1">
      <c r="B27" s="88" t="s">
        <v>348</v>
      </c>
      <c r="C27" s="46">
        <v>9</v>
      </c>
      <c r="D27" s="46">
        <v>8.8000000000000007</v>
      </c>
      <c r="E27" s="46">
        <v>5</v>
      </c>
      <c r="F27" s="100" t="s">
        <v>292</v>
      </c>
      <c r="G27" s="100" t="s">
        <v>292</v>
      </c>
      <c r="H27" s="100" t="s">
        <v>292</v>
      </c>
      <c r="I27" s="100" t="s">
        <v>292</v>
      </c>
      <c r="J27" s="101">
        <v>11.4</v>
      </c>
      <c r="K27" s="101">
        <v>6.9</v>
      </c>
      <c r="L27" s="92"/>
      <c r="M27" s="37"/>
    </row>
    <row r="28" spans="2:13" ht="15" customHeight="1">
      <c r="B28" s="88" t="s">
        <v>349</v>
      </c>
      <c r="C28" s="46">
        <v>12.2</v>
      </c>
      <c r="D28" s="46">
        <v>9.8000000000000007</v>
      </c>
      <c r="E28" s="46">
        <v>7.3</v>
      </c>
      <c r="F28" s="100" t="s">
        <v>292</v>
      </c>
      <c r="G28" s="100" t="s">
        <v>292</v>
      </c>
      <c r="H28" s="100" t="s">
        <v>292</v>
      </c>
      <c r="I28" s="100" t="s">
        <v>292</v>
      </c>
      <c r="J28" s="101">
        <v>12.8</v>
      </c>
      <c r="K28" s="101">
        <v>9.5</v>
      </c>
      <c r="L28" s="92"/>
      <c r="M28" s="37"/>
    </row>
    <row r="29" spans="2:13" ht="15" customHeight="1">
      <c r="B29" s="88" t="s">
        <v>350</v>
      </c>
      <c r="C29" s="46">
        <v>8.1</v>
      </c>
      <c r="D29" s="46">
        <v>10.5</v>
      </c>
      <c r="E29" s="46">
        <v>5.9</v>
      </c>
      <c r="F29" s="100" t="s">
        <v>292</v>
      </c>
      <c r="G29" s="100" t="s">
        <v>292</v>
      </c>
      <c r="H29" s="100" t="s">
        <v>292</v>
      </c>
      <c r="I29" s="100" t="s">
        <v>292</v>
      </c>
      <c r="J29" s="101">
        <v>10.8</v>
      </c>
      <c r="K29" s="101">
        <v>5.8</v>
      </c>
      <c r="L29" s="82"/>
      <c r="M29" s="37"/>
    </row>
    <row r="30" spans="2:13" ht="15" customHeight="1">
      <c r="B30" s="88" t="s">
        <v>351</v>
      </c>
      <c r="C30" s="46">
        <v>12.2</v>
      </c>
      <c r="D30" s="46">
        <v>7.9</v>
      </c>
      <c r="E30" s="46">
        <v>10</v>
      </c>
      <c r="F30" s="100" t="s">
        <v>292</v>
      </c>
      <c r="G30" s="100" t="s">
        <v>292</v>
      </c>
      <c r="H30" s="100" t="s">
        <v>284</v>
      </c>
      <c r="I30" s="100" t="s">
        <v>284</v>
      </c>
      <c r="J30" s="101">
        <v>11.8</v>
      </c>
      <c r="K30" s="101">
        <v>7.5</v>
      </c>
      <c r="L30" s="82"/>
      <c r="M30" s="37"/>
    </row>
    <row r="31" spans="2:13" ht="12.75" customHeight="1">
      <c r="B31" s="83"/>
      <c r="C31" s="46"/>
      <c r="D31" s="46"/>
      <c r="E31" s="46"/>
      <c r="F31" s="101"/>
      <c r="G31" s="101"/>
      <c r="H31" s="101"/>
      <c r="I31" s="101"/>
      <c r="J31" s="101"/>
      <c r="K31" s="101"/>
      <c r="L31" s="84"/>
      <c r="M31" s="37"/>
    </row>
    <row r="32" spans="2:13" ht="15" customHeight="1">
      <c r="B32" s="88" t="s">
        <v>352</v>
      </c>
      <c r="C32" s="46">
        <v>11.9</v>
      </c>
      <c r="D32" s="46">
        <v>9.6</v>
      </c>
      <c r="E32" s="46">
        <v>6.2</v>
      </c>
      <c r="F32" s="100" t="s">
        <v>292</v>
      </c>
      <c r="G32" s="100" t="s">
        <v>292</v>
      </c>
      <c r="H32" s="100" t="s">
        <v>292</v>
      </c>
      <c r="I32" s="100" t="s">
        <v>292</v>
      </c>
      <c r="J32" s="101">
        <v>13.5</v>
      </c>
      <c r="K32" s="101">
        <v>6.8</v>
      </c>
      <c r="L32" s="82"/>
      <c r="M32" s="37"/>
    </row>
    <row r="33" spans="2:13" ht="15" customHeight="1">
      <c r="B33" s="88" t="s">
        <v>353</v>
      </c>
      <c r="C33" s="46">
        <v>11.6</v>
      </c>
      <c r="D33" s="46">
        <v>10.6</v>
      </c>
      <c r="E33" s="46">
        <v>13.4</v>
      </c>
      <c r="F33" s="100" t="s">
        <v>292</v>
      </c>
      <c r="G33" s="100" t="s">
        <v>292</v>
      </c>
      <c r="H33" s="100" t="s">
        <v>292</v>
      </c>
      <c r="I33" s="100" t="s">
        <v>292</v>
      </c>
      <c r="J33" s="101">
        <v>14.2</v>
      </c>
      <c r="K33" s="101">
        <v>7.7</v>
      </c>
      <c r="L33" s="92"/>
      <c r="M33" s="37"/>
    </row>
    <row r="34" spans="2:13" ht="15" customHeight="1">
      <c r="B34" s="88" t="s">
        <v>354</v>
      </c>
      <c r="C34" s="46">
        <v>9.4</v>
      </c>
      <c r="D34" s="46">
        <v>10.3</v>
      </c>
      <c r="E34" s="46">
        <v>7.3</v>
      </c>
      <c r="F34" s="100">
        <v>8.9</v>
      </c>
      <c r="G34" s="100">
        <v>5.4</v>
      </c>
      <c r="H34" s="46">
        <v>6.3</v>
      </c>
      <c r="I34" s="100" t="s">
        <v>292</v>
      </c>
      <c r="J34" s="101">
        <v>12.9</v>
      </c>
      <c r="K34" s="101">
        <v>7.8</v>
      </c>
      <c r="L34" s="82"/>
      <c r="M34" s="37"/>
    </row>
    <row r="35" spans="2:13" ht="15" customHeight="1">
      <c r="B35" s="88" t="s">
        <v>355</v>
      </c>
      <c r="C35" s="46">
        <v>10.8</v>
      </c>
      <c r="D35" s="46">
        <v>9</v>
      </c>
      <c r="E35" s="46">
        <v>5.7</v>
      </c>
      <c r="F35" s="100" t="s">
        <v>292</v>
      </c>
      <c r="G35" s="100" t="s">
        <v>292</v>
      </c>
      <c r="H35" s="100" t="s">
        <v>292</v>
      </c>
      <c r="I35" s="100" t="s">
        <v>292</v>
      </c>
      <c r="J35" s="101">
        <v>15.4</v>
      </c>
      <c r="K35" s="101">
        <v>8.3000000000000007</v>
      </c>
      <c r="L35" s="82"/>
      <c r="M35" s="37"/>
    </row>
    <row r="36" spans="2:13" ht="15" customHeight="1">
      <c r="B36" s="88" t="s">
        <v>356</v>
      </c>
      <c r="C36" s="46">
        <v>10.4</v>
      </c>
      <c r="D36" s="46">
        <v>12.1</v>
      </c>
      <c r="E36" s="46">
        <v>9.8000000000000007</v>
      </c>
      <c r="F36" s="101">
        <v>8</v>
      </c>
      <c r="G36" s="46">
        <v>5</v>
      </c>
      <c r="H36" s="46">
        <v>6</v>
      </c>
      <c r="I36" s="101">
        <v>2.2000000000000002</v>
      </c>
      <c r="J36" s="101">
        <v>10.1</v>
      </c>
      <c r="K36" s="101">
        <v>6.9</v>
      </c>
      <c r="L36" s="82"/>
      <c r="M36" s="37"/>
    </row>
    <row r="37" spans="2:13" ht="12.75" customHeight="1">
      <c r="B37" s="88"/>
      <c r="C37" s="46"/>
      <c r="D37" s="46"/>
      <c r="E37" s="46"/>
      <c r="F37" s="101"/>
      <c r="G37" s="101"/>
      <c r="H37" s="101"/>
      <c r="I37" s="101"/>
      <c r="J37" s="101"/>
      <c r="K37" s="101"/>
      <c r="L37" s="82"/>
      <c r="M37" s="37"/>
    </row>
    <row r="38" spans="2:13" ht="15" customHeight="1">
      <c r="B38" s="88" t="s">
        <v>357</v>
      </c>
      <c r="C38" s="46">
        <v>13.9</v>
      </c>
      <c r="D38" s="46">
        <v>9.8000000000000007</v>
      </c>
      <c r="E38" s="46">
        <v>3.6</v>
      </c>
      <c r="F38" s="100" t="s">
        <v>292</v>
      </c>
      <c r="G38" s="100" t="s">
        <v>292</v>
      </c>
      <c r="H38" s="100" t="s">
        <v>292</v>
      </c>
      <c r="I38" s="100" t="s">
        <v>292</v>
      </c>
      <c r="J38" s="101">
        <v>12.6</v>
      </c>
      <c r="K38" s="101">
        <v>8.1999999999999993</v>
      </c>
      <c r="L38" s="92"/>
      <c r="M38" s="37"/>
    </row>
    <row r="39" spans="2:13" ht="15" customHeight="1">
      <c r="B39" s="88" t="s">
        <v>358</v>
      </c>
      <c r="C39" s="46">
        <v>12.9</v>
      </c>
      <c r="D39" s="46">
        <v>7.4</v>
      </c>
      <c r="E39" s="100" t="s">
        <v>292</v>
      </c>
      <c r="F39" s="100" t="s">
        <v>284</v>
      </c>
      <c r="G39" s="100" t="s">
        <v>284</v>
      </c>
      <c r="H39" s="100" t="s">
        <v>284</v>
      </c>
      <c r="I39" s="100" t="s">
        <v>284</v>
      </c>
      <c r="J39" s="101">
        <v>11.7</v>
      </c>
      <c r="K39" s="101">
        <v>4.5999999999999996</v>
      </c>
      <c r="L39" s="92"/>
      <c r="M39" s="37"/>
    </row>
    <row r="40" spans="2:13" ht="15" customHeight="1">
      <c r="B40" s="88" t="s">
        <v>359</v>
      </c>
      <c r="C40" s="46">
        <v>9.1</v>
      </c>
      <c r="D40" s="46">
        <v>10.7</v>
      </c>
      <c r="E40" s="46">
        <v>6.9</v>
      </c>
      <c r="F40" s="100" t="s">
        <v>284</v>
      </c>
      <c r="G40" s="100" t="s">
        <v>284</v>
      </c>
      <c r="H40" s="100" t="s">
        <v>292</v>
      </c>
      <c r="I40" s="100" t="s">
        <v>292</v>
      </c>
      <c r="J40" s="101">
        <v>14.6</v>
      </c>
      <c r="K40" s="101">
        <v>8.8000000000000007</v>
      </c>
      <c r="L40" s="82"/>
      <c r="M40" s="37"/>
    </row>
    <row r="41" spans="2:13" ht="15" customHeight="1">
      <c r="B41" s="88" t="s">
        <v>360</v>
      </c>
      <c r="C41" s="46">
        <v>10.3</v>
      </c>
      <c r="D41" s="46">
        <v>9.6</v>
      </c>
      <c r="E41" s="46">
        <v>6.7</v>
      </c>
      <c r="F41" s="100" t="s">
        <v>292</v>
      </c>
      <c r="G41" s="100" t="s">
        <v>292</v>
      </c>
      <c r="H41" s="100">
        <v>15</v>
      </c>
      <c r="I41" s="100" t="s">
        <v>292</v>
      </c>
      <c r="J41" s="101">
        <v>11</v>
      </c>
      <c r="K41" s="101">
        <v>5.0999999999999996</v>
      </c>
      <c r="L41" s="82"/>
      <c r="M41" s="37"/>
    </row>
    <row r="42" spans="2:13" ht="15" customHeight="1">
      <c r="B42" s="88" t="s">
        <v>361</v>
      </c>
      <c r="C42" s="46">
        <v>9.9</v>
      </c>
      <c r="D42" s="46">
        <v>12.6</v>
      </c>
      <c r="E42" s="46">
        <v>9.6999999999999993</v>
      </c>
      <c r="F42" s="100" t="s">
        <v>292</v>
      </c>
      <c r="G42" s="100" t="s">
        <v>292</v>
      </c>
      <c r="H42" s="100" t="s">
        <v>292</v>
      </c>
      <c r="I42" s="100" t="s">
        <v>292</v>
      </c>
      <c r="J42" s="101">
        <v>14.4</v>
      </c>
      <c r="K42" s="101">
        <v>10.8</v>
      </c>
      <c r="L42" s="82"/>
      <c r="M42" s="37"/>
    </row>
    <row r="43" spans="2:13">
      <c r="B43" s="11"/>
      <c r="C43" s="102"/>
      <c r="D43" s="102"/>
      <c r="E43" s="102"/>
      <c r="F43" s="102"/>
      <c r="G43" s="102"/>
      <c r="H43" s="102"/>
      <c r="I43" s="102"/>
      <c r="J43" s="102"/>
      <c r="K43" s="102"/>
    </row>
    <row r="44" spans="2:13" ht="15" customHeight="1">
      <c r="B44" s="88" t="s">
        <v>362</v>
      </c>
      <c r="C44" s="46">
        <v>10</v>
      </c>
      <c r="D44" s="46">
        <v>10.199999999999999</v>
      </c>
      <c r="E44" s="46">
        <v>3</v>
      </c>
      <c r="F44" s="100" t="s">
        <v>292</v>
      </c>
      <c r="G44" s="100" t="s">
        <v>292</v>
      </c>
      <c r="H44" s="100" t="s">
        <v>292</v>
      </c>
      <c r="I44" s="100" t="s">
        <v>292</v>
      </c>
      <c r="J44" s="101">
        <v>10.7</v>
      </c>
      <c r="K44" s="101">
        <v>4.5</v>
      </c>
      <c r="L44" s="92"/>
      <c r="M44" s="37"/>
    </row>
    <row r="45" spans="2:13" ht="15" customHeight="1">
      <c r="B45" s="88" t="s">
        <v>363</v>
      </c>
      <c r="C45" s="46">
        <v>13</v>
      </c>
      <c r="D45" s="46">
        <v>9.4</v>
      </c>
      <c r="E45" s="46">
        <v>6.6</v>
      </c>
      <c r="F45" s="100" t="s">
        <v>284</v>
      </c>
      <c r="G45" s="100" t="s">
        <v>284</v>
      </c>
      <c r="H45" s="100" t="s">
        <v>292</v>
      </c>
      <c r="I45" s="100" t="s">
        <v>292</v>
      </c>
      <c r="J45" s="101">
        <v>12</v>
      </c>
      <c r="K45" s="101">
        <v>6.6</v>
      </c>
      <c r="L45" s="82"/>
      <c r="M45" s="37"/>
    </row>
    <row r="46" spans="2:13" ht="15" customHeight="1">
      <c r="B46" s="88" t="s">
        <v>364</v>
      </c>
      <c r="C46" s="46">
        <v>7.6</v>
      </c>
      <c r="D46" s="46">
        <v>11.6</v>
      </c>
      <c r="E46" s="46">
        <v>8.3000000000000007</v>
      </c>
      <c r="F46" s="101">
        <v>8.6</v>
      </c>
      <c r="G46" s="46">
        <v>6.1</v>
      </c>
      <c r="H46" s="100">
        <v>8.9</v>
      </c>
      <c r="I46" s="101">
        <v>4</v>
      </c>
      <c r="J46" s="101">
        <v>11.9</v>
      </c>
      <c r="K46" s="101">
        <v>6.3</v>
      </c>
      <c r="L46" s="82"/>
      <c r="M46" s="37"/>
    </row>
    <row r="47" spans="2:13" ht="15" customHeight="1">
      <c r="B47" s="88" t="s">
        <v>365</v>
      </c>
      <c r="C47" s="46">
        <v>8.1</v>
      </c>
      <c r="D47" s="46">
        <v>11.7</v>
      </c>
      <c r="E47" s="46">
        <v>5.5</v>
      </c>
      <c r="F47" s="100" t="s">
        <v>292</v>
      </c>
      <c r="G47" s="100" t="s">
        <v>292</v>
      </c>
      <c r="H47" s="100" t="s">
        <v>292</v>
      </c>
      <c r="I47" s="100" t="s">
        <v>292</v>
      </c>
      <c r="J47" s="101">
        <v>12.5</v>
      </c>
      <c r="K47" s="101">
        <v>6.8</v>
      </c>
      <c r="L47" s="82"/>
      <c r="M47" s="37"/>
    </row>
    <row r="48" spans="2:13" ht="15" customHeight="1">
      <c r="B48" s="88" t="s">
        <v>366</v>
      </c>
      <c r="C48" s="46">
        <v>17.899999999999999</v>
      </c>
      <c r="D48" s="46">
        <v>9.3000000000000007</v>
      </c>
      <c r="E48" s="46">
        <v>4.7</v>
      </c>
      <c r="F48" s="100" t="s">
        <v>292</v>
      </c>
      <c r="G48" s="100" t="s">
        <v>284</v>
      </c>
      <c r="H48" s="100" t="s">
        <v>284</v>
      </c>
      <c r="I48" s="100" t="s">
        <v>284</v>
      </c>
      <c r="J48" s="101">
        <v>10.9</v>
      </c>
      <c r="K48" s="101">
        <v>7.3</v>
      </c>
      <c r="L48" s="82"/>
      <c r="M48" s="37"/>
    </row>
    <row r="49" spans="2:13">
      <c r="B49" s="11"/>
      <c r="C49" s="102"/>
      <c r="D49" s="102"/>
      <c r="E49" s="102"/>
      <c r="F49" s="102"/>
      <c r="G49" s="102"/>
      <c r="H49" s="102"/>
      <c r="I49" s="102"/>
      <c r="J49" s="102"/>
      <c r="K49" s="102"/>
    </row>
    <row r="50" spans="2:13" ht="15" customHeight="1">
      <c r="B50" s="88" t="s">
        <v>367</v>
      </c>
      <c r="C50" s="46">
        <v>16.399999999999999</v>
      </c>
      <c r="D50" s="46">
        <v>7.6</v>
      </c>
      <c r="E50" s="46">
        <v>11.4</v>
      </c>
      <c r="F50" s="100" t="s">
        <v>284</v>
      </c>
      <c r="G50" s="100" t="s">
        <v>284</v>
      </c>
      <c r="H50" s="100" t="s">
        <v>292</v>
      </c>
      <c r="I50" s="100" t="s">
        <v>292</v>
      </c>
      <c r="J50" s="101">
        <v>12.2</v>
      </c>
      <c r="K50" s="101">
        <v>7.1</v>
      </c>
      <c r="L50" s="92"/>
      <c r="M50" s="37"/>
    </row>
    <row r="51" spans="2:13" ht="15" customHeight="1">
      <c r="B51" s="88" t="s">
        <v>368</v>
      </c>
      <c r="C51" s="46">
        <v>6.2</v>
      </c>
      <c r="D51" s="46">
        <v>9.4</v>
      </c>
      <c r="E51" s="46">
        <v>6.7</v>
      </c>
      <c r="F51" s="100" t="s">
        <v>292</v>
      </c>
      <c r="G51" s="100" t="s">
        <v>284</v>
      </c>
      <c r="H51" s="100" t="s">
        <v>292</v>
      </c>
      <c r="I51" s="100" t="s">
        <v>292</v>
      </c>
      <c r="J51" s="101">
        <v>11.5</v>
      </c>
      <c r="K51" s="101">
        <v>5.5</v>
      </c>
      <c r="L51" s="82"/>
      <c r="M51" s="37"/>
    </row>
    <row r="52" spans="2:13" ht="15" customHeight="1">
      <c r="B52" s="88" t="s">
        <v>369</v>
      </c>
      <c r="C52" s="46">
        <v>10.4</v>
      </c>
      <c r="D52" s="46">
        <v>10.8</v>
      </c>
      <c r="E52" s="46">
        <v>7.9</v>
      </c>
      <c r="F52" s="101">
        <v>8.6999999999999993</v>
      </c>
      <c r="G52" s="185">
        <v>5.8</v>
      </c>
      <c r="H52" s="46">
        <v>10.4</v>
      </c>
      <c r="I52" s="101">
        <v>5.8</v>
      </c>
      <c r="J52" s="101">
        <v>12.3</v>
      </c>
      <c r="K52" s="101">
        <v>8.6</v>
      </c>
      <c r="L52" s="82"/>
      <c r="M52" s="37"/>
    </row>
    <row r="53" spans="2:13" ht="15" customHeight="1">
      <c r="B53" s="88" t="s">
        <v>370</v>
      </c>
      <c r="C53" s="46">
        <v>8.1</v>
      </c>
      <c r="D53" s="46">
        <v>12.4</v>
      </c>
      <c r="E53" s="46">
        <v>6.7</v>
      </c>
      <c r="F53" s="101">
        <v>8.1999999999999993</v>
      </c>
      <c r="G53" s="46">
        <v>3.5</v>
      </c>
      <c r="H53" s="46">
        <v>9.4</v>
      </c>
      <c r="I53" s="101">
        <v>6.6</v>
      </c>
      <c r="J53" s="101">
        <v>13.1</v>
      </c>
      <c r="K53" s="101">
        <v>5.8</v>
      </c>
      <c r="L53" s="82"/>
      <c r="M53" s="37"/>
    </row>
    <row r="54" spans="2:13" ht="15" customHeight="1">
      <c r="B54" s="88" t="s">
        <v>371</v>
      </c>
      <c r="C54" s="46">
        <v>11.2</v>
      </c>
      <c r="D54" s="46">
        <v>9.5</v>
      </c>
      <c r="E54" s="101">
        <v>4.3</v>
      </c>
      <c r="F54" s="100" t="s">
        <v>292</v>
      </c>
      <c r="G54" s="100" t="s">
        <v>292</v>
      </c>
      <c r="H54" s="100" t="s">
        <v>292</v>
      </c>
      <c r="I54" s="100" t="s">
        <v>292</v>
      </c>
      <c r="J54" s="101">
        <v>12.6</v>
      </c>
      <c r="K54" s="101">
        <v>9.8000000000000007</v>
      </c>
      <c r="L54" s="82"/>
      <c r="M54" s="37"/>
    </row>
    <row r="55" spans="2:13" ht="15.75">
      <c r="B55" s="11"/>
      <c r="C55" s="51"/>
      <c r="D55" s="11"/>
      <c r="E55" s="11"/>
      <c r="F55" s="11"/>
      <c r="G55" s="11"/>
      <c r="H55" s="11"/>
      <c r="I55" s="11"/>
      <c r="J55" s="11"/>
      <c r="K55" s="11"/>
    </row>
    <row r="56" spans="2:13">
      <c r="B56" s="11" t="s">
        <v>372</v>
      </c>
      <c r="C56" s="104">
        <v>7.2</v>
      </c>
      <c r="D56" s="104">
        <v>14.2</v>
      </c>
      <c r="E56" s="104">
        <v>8.3000000000000007</v>
      </c>
      <c r="F56" s="104">
        <v>4.4000000000000004</v>
      </c>
      <c r="G56" s="104">
        <v>3.2</v>
      </c>
      <c r="H56" s="104">
        <v>8.4</v>
      </c>
      <c r="I56" s="104">
        <v>5.8</v>
      </c>
      <c r="J56" s="104">
        <v>14.1</v>
      </c>
      <c r="K56" s="104">
        <v>7</v>
      </c>
    </row>
    <row r="57" spans="2:13">
      <c r="B57" s="11" t="s">
        <v>373</v>
      </c>
      <c r="C57" s="104">
        <v>10</v>
      </c>
      <c r="D57" s="104">
        <v>7.3</v>
      </c>
      <c r="E57" s="100" t="s">
        <v>292</v>
      </c>
      <c r="F57" s="100" t="s">
        <v>284</v>
      </c>
      <c r="G57" s="100" t="s">
        <v>284</v>
      </c>
      <c r="H57" s="104" t="s">
        <v>284</v>
      </c>
      <c r="I57" s="104" t="s">
        <v>284</v>
      </c>
      <c r="J57" s="104">
        <v>21</v>
      </c>
      <c r="K57" s="104">
        <v>1.8</v>
      </c>
    </row>
    <row r="58" spans="2:13">
      <c r="B58" s="11" t="s">
        <v>374</v>
      </c>
      <c r="C58" s="104">
        <v>14</v>
      </c>
      <c r="D58" s="104">
        <v>8.6</v>
      </c>
      <c r="E58" s="104">
        <v>8.1999999999999993</v>
      </c>
      <c r="F58" s="100" t="s">
        <v>284</v>
      </c>
      <c r="G58" s="100" t="s">
        <v>284</v>
      </c>
      <c r="H58" s="104" t="s">
        <v>284</v>
      </c>
      <c r="I58" s="104" t="s">
        <v>284</v>
      </c>
      <c r="J58" s="104">
        <v>8.3000000000000007</v>
      </c>
      <c r="K58" s="104">
        <v>3.7</v>
      </c>
    </row>
    <row r="59" spans="2:13">
      <c r="B59" s="11" t="s">
        <v>375</v>
      </c>
      <c r="C59" s="104">
        <v>8.6999999999999993</v>
      </c>
      <c r="D59" s="104">
        <v>9.1</v>
      </c>
      <c r="E59" s="104">
        <v>6.1</v>
      </c>
      <c r="F59" s="100" t="s">
        <v>292</v>
      </c>
      <c r="G59" s="100" t="s">
        <v>292</v>
      </c>
      <c r="H59" s="104">
        <v>8.6999999999999993</v>
      </c>
      <c r="I59" s="100" t="s">
        <v>292</v>
      </c>
      <c r="J59" s="104">
        <v>11.6</v>
      </c>
      <c r="K59" s="104">
        <v>7.3</v>
      </c>
    </row>
    <row r="60" spans="2:13">
      <c r="B60" s="11" t="s">
        <v>376</v>
      </c>
      <c r="C60" s="104">
        <v>12.7</v>
      </c>
      <c r="D60" s="104">
        <v>8.1999999999999993</v>
      </c>
      <c r="E60" s="104">
        <v>9.6</v>
      </c>
      <c r="F60" s="100" t="s">
        <v>292</v>
      </c>
      <c r="G60" s="100" t="s">
        <v>284</v>
      </c>
      <c r="H60" s="104" t="s">
        <v>284</v>
      </c>
      <c r="I60" s="104" t="s">
        <v>284</v>
      </c>
      <c r="J60" s="104">
        <v>18.7</v>
      </c>
      <c r="K60" s="104">
        <v>4.5</v>
      </c>
    </row>
    <row r="61" spans="2:13">
      <c r="B61" s="11"/>
      <c r="C61" s="104"/>
      <c r="D61" s="104"/>
      <c r="E61" s="104"/>
      <c r="F61" s="104"/>
      <c r="G61" s="104"/>
      <c r="H61" s="104"/>
      <c r="I61" s="104"/>
      <c r="J61" s="104"/>
      <c r="K61" s="104"/>
    </row>
    <row r="62" spans="2:13">
      <c r="B62" s="11" t="s">
        <v>377</v>
      </c>
      <c r="C62" s="104">
        <v>10.1</v>
      </c>
      <c r="D62" s="104">
        <v>10.9</v>
      </c>
      <c r="E62" s="104">
        <v>7.5</v>
      </c>
      <c r="F62" s="104">
        <v>8.3000000000000007</v>
      </c>
      <c r="G62" s="100" t="s">
        <v>292</v>
      </c>
      <c r="H62" s="104">
        <v>6.5</v>
      </c>
      <c r="I62" s="104">
        <v>6.5</v>
      </c>
      <c r="J62" s="104">
        <v>9.4</v>
      </c>
      <c r="K62" s="104">
        <v>7.7</v>
      </c>
    </row>
    <row r="63" spans="2:13">
      <c r="B63" s="11" t="s">
        <v>378</v>
      </c>
      <c r="C63" s="104">
        <v>7.3</v>
      </c>
      <c r="D63" s="104">
        <v>9.1</v>
      </c>
      <c r="E63" s="104">
        <v>6.2</v>
      </c>
      <c r="F63" s="104">
        <v>4.2</v>
      </c>
      <c r="G63" s="100" t="s">
        <v>292</v>
      </c>
      <c r="H63" s="100" t="s">
        <v>292</v>
      </c>
      <c r="I63" s="100" t="s">
        <v>292</v>
      </c>
      <c r="J63" s="104">
        <v>10.9</v>
      </c>
      <c r="K63" s="104">
        <v>7</v>
      </c>
    </row>
    <row r="64" spans="2:13">
      <c r="B64" s="11" t="s">
        <v>379</v>
      </c>
      <c r="C64" s="104">
        <v>9.4</v>
      </c>
      <c r="D64" s="104">
        <v>6.6</v>
      </c>
      <c r="E64" s="100" t="s">
        <v>292</v>
      </c>
      <c r="F64" s="100" t="s">
        <v>284</v>
      </c>
      <c r="G64" s="100" t="s">
        <v>284</v>
      </c>
      <c r="H64" s="100" t="s">
        <v>284</v>
      </c>
      <c r="I64" s="100" t="s">
        <v>284</v>
      </c>
      <c r="J64" s="104">
        <v>12</v>
      </c>
      <c r="K64" s="104">
        <v>6.2</v>
      </c>
    </row>
    <row r="65" spans="2:11">
      <c r="B65" s="11" t="s">
        <v>380</v>
      </c>
      <c r="C65" s="104">
        <v>13.4</v>
      </c>
      <c r="D65" s="104">
        <v>8.6999999999999993</v>
      </c>
      <c r="E65" s="100" t="s">
        <v>292</v>
      </c>
      <c r="F65" s="100" t="s">
        <v>284</v>
      </c>
      <c r="G65" s="100" t="s">
        <v>284</v>
      </c>
      <c r="H65" s="100" t="s">
        <v>284</v>
      </c>
      <c r="I65" s="104" t="s">
        <v>284</v>
      </c>
      <c r="J65" s="104">
        <v>34.200000000000003</v>
      </c>
      <c r="K65" s="104">
        <v>8</v>
      </c>
    </row>
    <row r="66" spans="2:11">
      <c r="B66" s="11" t="s">
        <v>381</v>
      </c>
      <c r="C66" s="104">
        <v>9.9</v>
      </c>
      <c r="D66" s="104">
        <v>11</v>
      </c>
      <c r="E66" s="105">
        <v>8.5</v>
      </c>
      <c r="F66" s="104">
        <v>7.1</v>
      </c>
      <c r="G66" s="104">
        <v>5.5</v>
      </c>
      <c r="H66" s="104">
        <v>10.3</v>
      </c>
      <c r="I66" s="104">
        <v>5.4</v>
      </c>
      <c r="J66" s="104">
        <v>10.8</v>
      </c>
      <c r="K66" s="104">
        <v>6.1</v>
      </c>
    </row>
    <row r="67" spans="2:11">
      <c r="B67" s="11"/>
      <c r="C67" s="104"/>
      <c r="D67" s="104"/>
      <c r="E67" s="105"/>
      <c r="F67" s="104"/>
      <c r="G67" s="104"/>
      <c r="H67" s="104"/>
      <c r="I67" s="104"/>
      <c r="J67" s="104"/>
      <c r="K67" s="104"/>
    </row>
    <row r="68" spans="2:11">
      <c r="B68" s="11" t="s">
        <v>382</v>
      </c>
      <c r="C68" s="104">
        <v>13</v>
      </c>
      <c r="D68" s="104">
        <v>7.2</v>
      </c>
      <c r="E68" s="105">
        <v>5.0999999999999996</v>
      </c>
      <c r="F68" s="100" t="s">
        <v>284</v>
      </c>
      <c r="G68" s="100" t="s">
        <v>284</v>
      </c>
      <c r="H68" s="100" t="s">
        <v>292</v>
      </c>
      <c r="I68" s="100" t="s">
        <v>292</v>
      </c>
      <c r="J68" s="104">
        <v>11.4</v>
      </c>
      <c r="K68" s="104">
        <v>6.1</v>
      </c>
    </row>
    <row r="69" spans="2:11">
      <c r="B69" s="11" t="s">
        <v>383</v>
      </c>
      <c r="C69" s="104">
        <v>9.5</v>
      </c>
      <c r="D69" s="104">
        <v>8.8000000000000007</v>
      </c>
      <c r="E69" s="105">
        <v>7</v>
      </c>
      <c r="F69" s="100" t="s">
        <v>292</v>
      </c>
      <c r="G69" s="100" t="s">
        <v>292</v>
      </c>
      <c r="H69" s="100" t="s">
        <v>292</v>
      </c>
      <c r="I69" s="100" t="s">
        <v>292</v>
      </c>
      <c r="J69" s="104">
        <v>12.9</v>
      </c>
      <c r="K69" s="104">
        <v>5.5</v>
      </c>
    </row>
    <row r="70" spans="2:11">
      <c r="B70" s="11" t="s">
        <v>384</v>
      </c>
      <c r="C70" s="104">
        <v>12.2</v>
      </c>
      <c r="D70" s="104">
        <v>9.4</v>
      </c>
      <c r="E70" s="105">
        <v>7.8</v>
      </c>
      <c r="F70" s="100" t="s">
        <v>284</v>
      </c>
      <c r="G70" s="100" t="s">
        <v>284</v>
      </c>
      <c r="H70" s="100" t="s">
        <v>292</v>
      </c>
      <c r="I70" s="100" t="s">
        <v>292</v>
      </c>
      <c r="J70" s="104">
        <v>14.3</v>
      </c>
      <c r="K70" s="104">
        <v>7.8</v>
      </c>
    </row>
    <row r="71" spans="2:11">
      <c r="B71" s="11" t="s">
        <v>385</v>
      </c>
      <c r="C71" s="104">
        <v>9.4</v>
      </c>
      <c r="D71" s="104">
        <v>9.6</v>
      </c>
      <c r="E71" s="105">
        <v>8.1999999999999993</v>
      </c>
      <c r="F71" s="100" t="s">
        <v>292</v>
      </c>
      <c r="G71" s="104" t="s">
        <v>292</v>
      </c>
      <c r="H71" s="100" t="s">
        <v>292</v>
      </c>
      <c r="I71" s="100" t="s">
        <v>292</v>
      </c>
      <c r="J71" s="104">
        <v>10</v>
      </c>
      <c r="K71" s="104">
        <v>6</v>
      </c>
    </row>
    <row r="72" spans="2:11">
      <c r="B72" s="11" t="s">
        <v>386</v>
      </c>
      <c r="C72" s="104">
        <v>11.5</v>
      </c>
      <c r="D72" s="104">
        <v>9.1999999999999993</v>
      </c>
      <c r="E72" s="105">
        <v>4.5</v>
      </c>
      <c r="F72" s="100" t="s">
        <v>284</v>
      </c>
      <c r="G72" s="100" t="s">
        <v>284</v>
      </c>
      <c r="H72" s="100" t="s">
        <v>284</v>
      </c>
      <c r="I72" s="100" t="s">
        <v>284</v>
      </c>
      <c r="J72" s="104">
        <v>13.3</v>
      </c>
      <c r="K72" s="104">
        <v>6.4</v>
      </c>
    </row>
    <row r="73" spans="2:11">
      <c r="B73" s="11"/>
      <c r="C73" s="104"/>
      <c r="D73" s="104"/>
      <c r="E73" s="105"/>
      <c r="F73" s="104"/>
      <c r="G73" s="104"/>
      <c r="H73" s="104"/>
      <c r="I73" s="104"/>
      <c r="J73" s="104"/>
      <c r="K73" s="104"/>
    </row>
    <row r="74" spans="2:11">
      <c r="B74" s="11" t="s">
        <v>387</v>
      </c>
      <c r="C74" s="104">
        <v>8.5</v>
      </c>
      <c r="D74" s="104">
        <v>10</v>
      </c>
      <c r="E74" s="105">
        <v>7.2</v>
      </c>
      <c r="F74" s="104">
        <v>8.4</v>
      </c>
      <c r="G74" s="100" t="s">
        <v>292</v>
      </c>
      <c r="H74" s="104">
        <v>9.6</v>
      </c>
      <c r="I74" s="104" t="s">
        <v>292</v>
      </c>
      <c r="J74" s="104">
        <v>13</v>
      </c>
      <c r="K74" s="104">
        <v>7.9</v>
      </c>
    </row>
    <row r="75" spans="2:11">
      <c r="B75" s="11" t="s">
        <v>388</v>
      </c>
      <c r="C75" s="104">
        <v>10.9</v>
      </c>
      <c r="D75" s="104">
        <v>10.8</v>
      </c>
      <c r="E75" s="105">
        <v>5.6</v>
      </c>
      <c r="F75" s="100" t="s">
        <v>284</v>
      </c>
      <c r="G75" s="100" t="s">
        <v>284</v>
      </c>
      <c r="H75" s="100" t="s">
        <v>284</v>
      </c>
      <c r="I75" s="100" t="s">
        <v>284</v>
      </c>
      <c r="J75" s="104">
        <v>13</v>
      </c>
      <c r="K75" s="104">
        <v>7.2</v>
      </c>
    </row>
    <row r="76" spans="2:11">
      <c r="B76" s="11" t="s">
        <v>389</v>
      </c>
      <c r="C76" s="104">
        <v>9.5</v>
      </c>
      <c r="D76" s="104">
        <v>10.1</v>
      </c>
      <c r="E76" s="105">
        <v>7</v>
      </c>
      <c r="F76" s="104">
        <v>9.9</v>
      </c>
      <c r="G76" s="104">
        <v>6.6</v>
      </c>
      <c r="H76" s="104">
        <v>8.6</v>
      </c>
      <c r="I76" s="104" t="s">
        <v>292</v>
      </c>
      <c r="J76" s="104">
        <v>9</v>
      </c>
      <c r="K76" s="104">
        <v>8.4</v>
      </c>
    </row>
    <row r="77" spans="2:11">
      <c r="B77" s="11" t="s">
        <v>390</v>
      </c>
      <c r="C77" s="104">
        <v>9.8000000000000007</v>
      </c>
      <c r="D77" s="104">
        <v>12</v>
      </c>
      <c r="E77" s="105">
        <v>5.7</v>
      </c>
      <c r="F77" s="100" t="s">
        <v>292</v>
      </c>
      <c r="G77" s="100" t="s">
        <v>292</v>
      </c>
      <c r="H77" s="104">
        <v>9.3000000000000007</v>
      </c>
      <c r="I77" s="104" t="s">
        <v>292</v>
      </c>
      <c r="J77" s="104">
        <v>12.6</v>
      </c>
      <c r="K77" s="104">
        <v>9.5</v>
      </c>
    </row>
    <row r="78" spans="2:11">
      <c r="B78" s="11" t="s">
        <v>391</v>
      </c>
      <c r="C78" s="104">
        <v>20.5</v>
      </c>
      <c r="D78" s="104">
        <v>6.2</v>
      </c>
      <c r="E78" s="100" t="s">
        <v>292</v>
      </c>
      <c r="F78" s="100" t="s">
        <v>284</v>
      </c>
      <c r="G78" s="100" t="s">
        <v>284</v>
      </c>
      <c r="H78" s="100" t="s">
        <v>292</v>
      </c>
      <c r="I78" s="104" t="s">
        <v>292</v>
      </c>
      <c r="J78" s="104">
        <v>7.5</v>
      </c>
      <c r="K78" s="104">
        <v>7.9</v>
      </c>
    </row>
    <row r="79" spans="2:11">
      <c r="B79" s="11"/>
      <c r="C79" s="104"/>
      <c r="D79" s="104"/>
      <c r="E79" s="105"/>
      <c r="F79" s="104"/>
      <c r="G79" s="104"/>
      <c r="H79" s="104"/>
      <c r="I79" s="104"/>
      <c r="J79" s="104"/>
      <c r="K79" s="104"/>
    </row>
    <row r="80" spans="2:11">
      <c r="B80" s="11" t="s">
        <v>392</v>
      </c>
      <c r="C80" s="104">
        <v>10</v>
      </c>
      <c r="D80" s="104">
        <v>12.5</v>
      </c>
      <c r="E80" s="105">
        <v>10.7</v>
      </c>
      <c r="F80" s="104">
        <v>8.9</v>
      </c>
      <c r="G80" s="104">
        <v>6.6</v>
      </c>
      <c r="H80" s="104">
        <v>12.2</v>
      </c>
      <c r="I80" s="104">
        <v>5.6</v>
      </c>
      <c r="J80" s="104">
        <v>12.5</v>
      </c>
      <c r="K80" s="104">
        <v>8.8000000000000007</v>
      </c>
    </row>
    <row r="81" spans="2:11">
      <c r="B81" s="11" t="s">
        <v>393</v>
      </c>
      <c r="C81" s="104">
        <v>9.5</v>
      </c>
      <c r="D81" s="104">
        <v>11.1</v>
      </c>
      <c r="E81" s="105">
        <v>8</v>
      </c>
      <c r="F81" s="100" t="s">
        <v>292</v>
      </c>
      <c r="G81" s="100" t="s">
        <v>292</v>
      </c>
      <c r="H81" s="100" t="s">
        <v>292</v>
      </c>
      <c r="I81" s="100" t="s">
        <v>284</v>
      </c>
      <c r="J81" s="104">
        <v>11.5</v>
      </c>
      <c r="K81" s="104">
        <v>8.8000000000000007</v>
      </c>
    </row>
    <row r="82" spans="2:11">
      <c r="B82" s="11" t="s">
        <v>394</v>
      </c>
      <c r="C82" s="104">
        <v>8</v>
      </c>
      <c r="D82" s="104">
        <v>11</v>
      </c>
      <c r="E82" s="105">
        <v>8.1</v>
      </c>
      <c r="F82" s="104">
        <v>6.7</v>
      </c>
      <c r="G82" s="104">
        <v>5.0999999999999996</v>
      </c>
      <c r="H82" s="104">
        <v>7.9</v>
      </c>
      <c r="I82" s="104">
        <v>3.9</v>
      </c>
      <c r="J82" s="104">
        <v>11.2</v>
      </c>
      <c r="K82" s="104">
        <v>6.1</v>
      </c>
    </row>
    <row r="83" spans="2:11">
      <c r="B83" s="11" t="s">
        <v>395</v>
      </c>
      <c r="C83" s="104">
        <v>9.9</v>
      </c>
      <c r="D83" s="104">
        <v>10.4</v>
      </c>
      <c r="E83" s="105">
        <v>9.9</v>
      </c>
      <c r="F83" s="100" t="s">
        <v>292</v>
      </c>
      <c r="G83" s="100" t="s">
        <v>292</v>
      </c>
      <c r="H83" s="100" t="s">
        <v>292</v>
      </c>
      <c r="I83" s="100" t="s">
        <v>284</v>
      </c>
      <c r="J83" s="104">
        <v>14.3</v>
      </c>
      <c r="K83" s="104">
        <v>6.6</v>
      </c>
    </row>
    <row r="84" spans="2:11">
      <c r="B84" s="11" t="s">
        <v>396</v>
      </c>
      <c r="C84" s="104">
        <v>15.4</v>
      </c>
      <c r="D84" s="104">
        <v>8.3000000000000007</v>
      </c>
      <c r="E84" s="105">
        <v>3.4</v>
      </c>
      <c r="F84" s="100" t="s">
        <v>284</v>
      </c>
      <c r="G84" s="100" t="s">
        <v>284</v>
      </c>
      <c r="H84" s="100" t="s">
        <v>284</v>
      </c>
      <c r="I84" s="100" t="s">
        <v>284</v>
      </c>
      <c r="J84" s="104">
        <v>13.4</v>
      </c>
      <c r="K84" s="104">
        <v>6.2</v>
      </c>
    </row>
    <row r="85" spans="2:11">
      <c r="B85" s="11"/>
      <c r="C85" s="104"/>
      <c r="D85" s="104"/>
      <c r="E85" s="105"/>
      <c r="F85" s="104"/>
      <c r="G85" s="104"/>
      <c r="H85" s="104"/>
      <c r="I85" s="104"/>
      <c r="J85" s="104"/>
      <c r="K85" s="104"/>
    </row>
    <row r="86" spans="2:11">
      <c r="B86" s="11" t="s">
        <v>397</v>
      </c>
      <c r="C86" s="104">
        <v>13.9</v>
      </c>
      <c r="D86" s="104">
        <v>4.4000000000000004</v>
      </c>
      <c r="E86" s="100" t="s">
        <v>292</v>
      </c>
      <c r="F86" s="100" t="s">
        <v>292</v>
      </c>
      <c r="G86" s="100" t="s">
        <v>292</v>
      </c>
      <c r="H86" s="104" t="s">
        <v>284</v>
      </c>
      <c r="I86" s="104" t="s">
        <v>284</v>
      </c>
      <c r="J86" s="104">
        <v>8.1999999999999993</v>
      </c>
      <c r="K86" s="104">
        <v>3.8</v>
      </c>
    </row>
    <row r="87" spans="2:11">
      <c r="B87" s="11" t="s">
        <v>398</v>
      </c>
      <c r="C87" s="104">
        <v>9.6999999999999993</v>
      </c>
      <c r="D87" s="104">
        <v>11.2</v>
      </c>
      <c r="E87" s="105">
        <v>8.4</v>
      </c>
      <c r="F87" s="100" t="s">
        <v>292</v>
      </c>
      <c r="G87" s="100" t="s">
        <v>292</v>
      </c>
      <c r="H87" s="104" t="s">
        <v>292</v>
      </c>
      <c r="I87" s="104" t="s">
        <v>292</v>
      </c>
      <c r="J87" s="104">
        <v>14.1</v>
      </c>
      <c r="K87" s="104">
        <v>9.1999999999999993</v>
      </c>
    </row>
    <row r="88" spans="2:11">
      <c r="B88" s="11" t="s">
        <v>399</v>
      </c>
      <c r="C88" s="104">
        <v>14.3</v>
      </c>
      <c r="D88" s="104">
        <v>7.9</v>
      </c>
      <c r="E88" s="105">
        <v>10.6</v>
      </c>
      <c r="F88" s="100" t="s">
        <v>284</v>
      </c>
      <c r="G88" s="100" t="s">
        <v>284</v>
      </c>
      <c r="H88" s="104" t="s">
        <v>284</v>
      </c>
      <c r="I88" s="104" t="s">
        <v>284</v>
      </c>
      <c r="J88" s="104">
        <v>11.2</v>
      </c>
      <c r="K88" s="104">
        <v>5.7</v>
      </c>
    </row>
    <row r="89" spans="2:11">
      <c r="B89" s="11" t="s">
        <v>400</v>
      </c>
      <c r="C89" s="104">
        <v>11</v>
      </c>
      <c r="D89" s="104">
        <v>9.5</v>
      </c>
      <c r="E89" s="105">
        <v>8.3000000000000007</v>
      </c>
      <c r="F89" s="100" t="s">
        <v>292</v>
      </c>
      <c r="G89" s="100" t="s">
        <v>284</v>
      </c>
      <c r="H89" s="104" t="s">
        <v>284</v>
      </c>
      <c r="I89" s="104" t="s">
        <v>284</v>
      </c>
      <c r="J89" s="104">
        <v>13.7</v>
      </c>
      <c r="K89" s="104">
        <v>9</v>
      </c>
    </row>
    <row r="90" spans="2:11">
      <c r="B90" s="11" t="s">
        <v>401</v>
      </c>
      <c r="C90" s="104">
        <v>6.5</v>
      </c>
      <c r="D90" s="104">
        <v>12.4</v>
      </c>
      <c r="E90" s="105">
        <v>7.2</v>
      </c>
      <c r="F90" s="104">
        <v>7.7</v>
      </c>
      <c r="G90" s="104">
        <v>5.9</v>
      </c>
      <c r="H90" s="104">
        <v>8.3000000000000007</v>
      </c>
      <c r="I90" s="104">
        <v>3.3</v>
      </c>
      <c r="J90" s="104">
        <v>13.3</v>
      </c>
      <c r="K90" s="104">
        <v>6.7</v>
      </c>
    </row>
    <row r="91" spans="2:11">
      <c r="B91" s="11"/>
      <c r="C91" s="104"/>
      <c r="D91" s="104"/>
      <c r="E91" s="105"/>
      <c r="F91" s="104"/>
      <c r="G91" s="104"/>
      <c r="H91" s="104"/>
      <c r="I91" s="104"/>
      <c r="J91" s="104"/>
      <c r="K91" s="104"/>
    </row>
    <row r="92" spans="2:11">
      <c r="B92" s="11" t="s">
        <v>402</v>
      </c>
      <c r="C92" s="104">
        <v>13.6</v>
      </c>
      <c r="D92" s="104">
        <v>6.7</v>
      </c>
      <c r="E92" s="100" t="s">
        <v>292</v>
      </c>
      <c r="F92" s="100" t="s">
        <v>284</v>
      </c>
      <c r="G92" s="100" t="s">
        <v>284</v>
      </c>
      <c r="H92" s="100" t="s">
        <v>284</v>
      </c>
      <c r="I92" s="100" t="s">
        <v>284</v>
      </c>
      <c r="J92" s="104">
        <v>9.6</v>
      </c>
      <c r="K92" s="104">
        <v>5.0999999999999996</v>
      </c>
    </row>
    <row r="93" spans="2:11">
      <c r="B93" s="11" t="s">
        <v>403</v>
      </c>
      <c r="C93" s="104">
        <v>16.3</v>
      </c>
      <c r="D93" s="104">
        <v>7.1</v>
      </c>
      <c r="E93" s="105">
        <v>7.6</v>
      </c>
      <c r="F93" s="100" t="s">
        <v>284</v>
      </c>
      <c r="G93" s="100" t="s">
        <v>284</v>
      </c>
      <c r="H93" s="100" t="s">
        <v>284</v>
      </c>
      <c r="I93" s="100" t="s">
        <v>284</v>
      </c>
      <c r="J93" s="104">
        <v>9.3000000000000007</v>
      </c>
      <c r="K93" s="104">
        <v>6.7</v>
      </c>
    </row>
    <row r="94" spans="2:11">
      <c r="B94" s="11" t="s">
        <v>404</v>
      </c>
      <c r="C94" s="104">
        <v>10</v>
      </c>
      <c r="D94" s="104">
        <v>11.6</v>
      </c>
      <c r="E94" s="105">
        <v>9.1</v>
      </c>
      <c r="F94" s="104">
        <v>8.3000000000000007</v>
      </c>
      <c r="G94" s="104">
        <v>5.7</v>
      </c>
      <c r="H94" s="104">
        <v>9.6999999999999993</v>
      </c>
      <c r="I94" s="104">
        <v>4.8</v>
      </c>
      <c r="J94" s="104">
        <v>11</v>
      </c>
      <c r="K94" s="104">
        <v>6.6</v>
      </c>
    </row>
    <row r="95" spans="2:11">
      <c r="B95" s="11" t="s">
        <v>405</v>
      </c>
      <c r="C95" s="104">
        <v>10.9</v>
      </c>
      <c r="D95" s="104">
        <v>9.6999999999999993</v>
      </c>
      <c r="E95" s="105">
        <v>7.2</v>
      </c>
      <c r="F95" s="104">
        <v>3.9</v>
      </c>
      <c r="G95" s="100" t="s">
        <v>292</v>
      </c>
      <c r="H95" s="104">
        <v>5.8</v>
      </c>
      <c r="I95" s="104">
        <v>4.5</v>
      </c>
      <c r="J95" s="104">
        <v>10.7</v>
      </c>
      <c r="K95" s="104">
        <v>6.9</v>
      </c>
    </row>
    <row r="96" spans="2:11">
      <c r="B96" s="11" t="s">
        <v>406</v>
      </c>
      <c r="C96" s="104">
        <v>10.4</v>
      </c>
      <c r="D96" s="104">
        <v>14.1</v>
      </c>
      <c r="E96" s="105">
        <v>8.4</v>
      </c>
      <c r="F96" s="104">
        <v>8.1</v>
      </c>
      <c r="G96" s="100" t="s">
        <v>292</v>
      </c>
      <c r="H96" s="170">
        <v>9.3000000000000007</v>
      </c>
      <c r="I96" s="104" t="s">
        <v>292</v>
      </c>
      <c r="J96" s="104">
        <v>14.8</v>
      </c>
      <c r="K96" s="104">
        <v>8.8000000000000007</v>
      </c>
    </row>
    <row r="97" spans="2:11">
      <c r="B97" s="11"/>
      <c r="C97" s="104"/>
      <c r="D97" s="104"/>
      <c r="E97" s="105"/>
      <c r="F97" s="104"/>
      <c r="G97" s="104"/>
      <c r="H97" s="104"/>
      <c r="I97" s="104"/>
      <c r="J97" s="104"/>
      <c r="K97" s="104"/>
    </row>
    <row r="98" spans="2:11">
      <c r="B98" s="11" t="s">
        <v>407</v>
      </c>
      <c r="C98" s="104">
        <v>11.7</v>
      </c>
      <c r="D98" s="104">
        <v>10.6</v>
      </c>
      <c r="E98" s="105">
        <v>7.9</v>
      </c>
      <c r="F98" s="100" t="s">
        <v>292</v>
      </c>
      <c r="G98" s="100" t="s">
        <v>292</v>
      </c>
      <c r="H98" s="100" t="s">
        <v>292</v>
      </c>
      <c r="I98" s="104" t="s">
        <v>292</v>
      </c>
      <c r="J98" s="104">
        <v>11.1</v>
      </c>
      <c r="K98" s="104">
        <v>6.8</v>
      </c>
    </row>
    <row r="99" spans="2:11">
      <c r="B99" s="11" t="s">
        <v>408</v>
      </c>
      <c r="C99" s="104">
        <v>14.2</v>
      </c>
      <c r="D99" s="104">
        <v>8</v>
      </c>
      <c r="E99" s="100" t="s">
        <v>292</v>
      </c>
      <c r="F99" s="100" t="s">
        <v>284</v>
      </c>
      <c r="G99" s="100" t="s">
        <v>284</v>
      </c>
      <c r="H99" s="100" t="s">
        <v>284</v>
      </c>
      <c r="I99" s="100" t="s">
        <v>284</v>
      </c>
      <c r="J99" s="104">
        <v>10.7</v>
      </c>
      <c r="K99" s="104">
        <v>6.1</v>
      </c>
    </row>
    <row r="100" spans="2:11">
      <c r="B100" s="11" t="s">
        <v>409</v>
      </c>
      <c r="C100" s="104">
        <v>10.9</v>
      </c>
      <c r="D100" s="104">
        <v>10.8</v>
      </c>
      <c r="E100" s="105">
        <v>6.9</v>
      </c>
      <c r="F100" s="100" t="s">
        <v>292</v>
      </c>
      <c r="G100" s="104" t="s">
        <v>292</v>
      </c>
      <c r="H100" s="104" t="s">
        <v>292</v>
      </c>
      <c r="I100" s="104" t="s">
        <v>292</v>
      </c>
      <c r="J100" s="104">
        <v>12.2</v>
      </c>
      <c r="K100" s="104">
        <v>7.1</v>
      </c>
    </row>
    <row r="101" spans="2:11">
      <c r="B101" s="11" t="s">
        <v>410</v>
      </c>
      <c r="C101" s="104">
        <v>10.4</v>
      </c>
      <c r="D101" s="104">
        <v>10.1</v>
      </c>
      <c r="E101" s="105">
        <v>4.5999999999999996</v>
      </c>
      <c r="F101" s="100" t="s">
        <v>292</v>
      </c>
      <c r="G101" s="104" t="s">
        <v>292</v>
      </c>
      <c r="H101" s="104" t="s">
        <v>292</v>
      </c>
      <c r="I101" s="104" t="s">
        <v>292</v>
      </c>
      <c r="J101" s="104">
        <v>12</v>
      </c>
      <c r="K101" s="104">
        <v>7</v>
      </c>
    </row>
    <row r="102" spans="2:11">
      <c r="B102" s="11" t="s">
        <v>411</v>
      </c>
      <c r="C102" s="104">
        <v>9.8000000000000007</v>
      </c>
      <c r="D102" s="104">
        <v>12</v>
      </c>
      <c r="E102" s="105">
        <v>7.5</v>
      </c>
      <c r="F102" s="104">
        <v>6.6</v>
      </c>
      <c r="G102" s="104" t="s">
        <v>292</v>
      </c>
      <c r="H102" s="104" t="s">
        <v>292</v>
      </c>
      <c r="I102" s="104" t="s">
        <v>292</v>
      </c>
      <c r="J102" s="104">
        <v>13.1</v>
      </c>
      <c r="K102" s="104">
        <v>7.4</v>
      </c>
    </row>
    <row r="103" spans="2:11">
      <c r="B103" s="11"/>
      <c r="C103" s="104"/>
      <c r="D103" s="104"/>
      <c r="E103" s="105"/>
      <c r="F103" s="104"/>
      <c r="G103" s="104"/>
      <c r="H103" s="104"/>
      <c r="I103" s="104"/>
      <c r="J103" s="104"/>
      <c r="K103" s="104"/>
    </row>
    <row r="104" spans="2:11">
      <c r="B104" s="11" t="s">
        <v>412</v>
      </c>
      <c r="C104" s="104">
        <v>6.1</v>
      </c>
      <c r="D104" s="104">
        <v>10.3</v>
      </c>
      <c r="E104" s="105">
        <v>6.9</v>
      </c>
      <c r="F104" s="104">
        <v>4.9000000000000004</v>
      </c>
      <c r="G104" s="104">
        <v>3.3</v>
      </c>
      <c r="H104" s="104">
        <v>6.8</v>
      </c>
      <c r="I104" s="104">
        <v>4.4000000000000004</v>
      </c>
      <c r="J104" s="104">
        <v>10.7</v>
      </c>
      <c r="K104" s="104">
        <v>5.8</v>
      </c>
    </row>
    <row r="105" spans="2:11">
      <c r="B105" s="11" t="s">
        <v>413</v>
      </c>
      <c r="C105" s="104">
        <v>10.1</v>
      </c>
      <c r="D105" s="104">
        <v>13.3</v>
      </c>
      <c r="E105" s="105">
        <v>10.1</v>
      </c>
      <c r="F105" s="104">
        <v>9.1999999999999993</v>
      </c>
      <c r="G105" s="104">
        <v>6.2</v>
      </c>
      <c r="H105" s="104">
        <v>10.7</v>
      </c>
      <c r="I105" s="104">
        <v>5.8</v>
      </c>
      <c r="J105" s="104">
        <v>7.9</v>
      </c>
      <c r="K105" s="104">
        <v>4.5999999999999996</v>
      </c>
    </row>
    <row r="106" spans="2:11">
      <c r="B106" s="11" t="s">
        <v>414</v>
      </c>
      <c r="C106" s="104">
        <v>11.5</v>
      </c>
      <c r="D106" s="104">
        <v>13.2</v>
      </c>
      <c r="E106" s="105">
        <v>5.3</v>
      </c>
      <c r="F106" s="100" t="s">
        <v>292</v>
      </c>
      <c r="G106" s="100" t="s">
        <v>292</v>
      </c>
      <c r="H106" s="100" t="s">
        <v>292</v>
      </c>
      <c r="I106" s="104" t="s">
        <v>292</v>
      </c>
      <c r="J106" s="104">
        <v>13.6</v>
      </c>
      <c r="K106" s="104">
        <v>9.6</v>
      </c>
    </row>
    <row r="107" spans="2:11">
      <c r="B107" s="65"/>
      <c r="C107" s="106"/>
      <c r="D107" s="106"/>
      <c r="E107" s="107"/>
      <c r="F107" s="106"/>
      <c r="G107" s="106"/>
      <c r="H107" s="106"/>
      <c r="I107" s="106"/>
      <c r="J107" s="106"/>
      <c r="K107" s="106"/>
    </row>
    <row r="108" spans="2:11">
      <c r="B108" s="14"/>
      <c r="C108" s="108"/>
      <c r="D108" s="108"/>
      <c r="E108" s="109"/>
      <c r="F108" s="108"/>
      <c r="G108" s="108"/>
      <c r="H108" s="108"/>
      <c r="I108" s="108"/>
      <c r="J108" s="108"/>
      <c r="K108" s="108"/>
    </row>
    <row r="109" spans="2:11" ht="57" customHeight="1">
      <c r="B109" s="314" t="s">
        <v>558</v>
      </c>
      <c r="C109" s="301"/>
      <c r="D109" s="301"/>
      <c r="E109" s="301"/>
      <c r="F109" s="301"/>
      <c r="G109" s="301"/>
      <c r="H109" s="301"/>
      <c r="I109" s="301"/>
      <c r="J109" s="301"/>
      <c r="K109" s="301"/>
    </row>
    <row r="110" spans="2:11" ht="29.25" customHeight="1">
      <c r="B110" s="314" t="s">
        <v>609</v>
      </c>
      <c r="C110" s="301"/>
      <c r="D110" s="301"/>
      <c r="E110" s="301"/>
      <c r="F110" s="301"/>
      <c r="G110" s="301"/>
      <c r="H110" s="301"/>
      <c r="I110" s="301"/>
      <c r="J110" s="301"/>
      <c r="K110" s="301"/>
    </row>
    <row r="111" spans="2:11">
      <c r="E111" s="94"/>
    </row>
    <row r="112" spans="2:11">
      <c r="E112" s="94"/>
    </row>
    <row r="113" spans="5:5">
      <c r="E113" s="94"/>
    </row>
    <row r="114" spans="5:5">
      <c r="E114" s="94"/>
    </row>
    <row r="115" spans="5:5">
      <c r="E115" s="94"/>
    </row>
    <row r="116" spans="5:5">
      <c r="E116" s="94"/>
    </row>
    <row r="117" spans="5:5">
      <c r="E117" s="94"/>
    </row>
    <row r="118" spans="5:5">
      <c r="E118" s="94"/>
    </row>
    <row r="119" spans="5:5">
      <c r="E119" s="94"/>
    </row>
    <row r="120" spans="5:5">
      <c r="E120" s="94"/>
    </row>
    <row r="121" spans="5:5">
      <c r="E121" s="94"/>
    </row>
    <row r="122" spans="5:5">
      <c r="E122" s="94"/>
    </row>
    <row r="123" spans="5:5">
      <c r="E123" s="94"/>
    </row>
    <row r="124" spans="5:5">
      <c r="E124" s="94"/>
    </row>
    <row r="125" spans="5:5">
      <c r="E125" s="94"/>
    </row>
    <row r="126" spans="5:5">
      <c r="E126" s="94"/>
    </row>
    <row r="127" spans="5:5">
      <c r="E127" s="94"/>
    </row>
    <row r="128" spans="5:5">
      <c r="E128" s="94"/>
    </row>
    <row r="129" spans="5:5">
      <c r="E129" s="94"/>
    </row>
    <row r="130" spans="5:5">
      <c r="E130" s="94"/>
    </row>
    <row r="131" spans="5:5">
      <c r="E131" s="94"/>
    </row>
    <row r="132" spans="5:5">
      <c r="E132" s="94"/>
    </row>
    <row r="133" spans="5:5">
      <c r="E133" s="94"/>
    </row>
    <row r="134" spans="5:5">
      <c r="E134" s="94"/>
    </row>
    <row r="135" spans="5:5">
      <c r="E135" s="94"/>
    </row>
    <row r="136" spans="5:5">
      <c r="E136" s="94"/>
    </row>
    <row r="137" spans="5:5">
      <c r="E137" s="94"/>
    </row>
    <row r="138" spans="5:5">
      <c r="E138" s="94"/>
    </row>
    <row r="139" spans="5:5">
      <c r="E139" s="94"/>
    </row>
    <row r="140" spans="5:5">
      <c r="E140" s="94"/>
    </row>
    <row r="141" spans="5:5">
      <c r="E141" s="94"/>
    </row>
    <row r="142" spans="5:5">
      <c r="E142" s="94"/>
    </row>
    <row r="143" spans="5:5">
      <c r="E143" s="94"/>
    </row>
    <row r="144" spans="5:5">
      <c r="E144" s="94"/>
    </row>
  </sheetData>
  <mergeCells count="2">
    <mergeCell ref="B109:K109"/>
    <mergeCell ref="B110:K110"/>
  </mergeCells>
  <phoneticPr fontId="1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3"/>
  <sheetViews>
    <sheetView workbookViewId="0"/>
  </sheetViews>
  <sheetFormatPr defaultRowHeight="15"/>
  <cols>
    <col min="1" max="1" width="4.6640625" style="2" customWidth="1"/>
    <col min="2" max="2" width="19.83203125" style="2" customWidth="1"/>
    <col min="3" max="8" width="10.1640625" style="2" customWidth="1"/>
    <col min="9" max="10" width="10.1640625" style="216" customWidth="1"/>
    <col min="11" max="12" width="10.1640625" style="2" customWidth="1"/>
    <col min="13" max="14" width="9.33203125" style="2"/>
    <col min="15" max="15" width="10.5" style="2" bestFit="1" customWidth="1"/>
    <col min="16" max="16" width="9.33203125" style="2"/>
    <col min="17" max="17" width="10.5" style="216" bestFit="1" customWidth="1"/>
    <col min="18" max="18" width="9.33203125" style="216"/>
    <col min="19" max="16384" width="9.33203125" style="2"/>
  </cols>
  <sheetData>
    <row r="1" spans="1:20" ht="15.75">
      <c r="A1" s="1"/>
      <c r="B1" s="239"/>
      <c r="C1" s="216"/>
      <c r="G1" s="252"/>
    </row>
    <row r="2" spans="1:20">
      <c r="B2" s="4" t="s">
        <v>418</v>
      </c>
      <c r="C2" s="4"/>
      <c r="D2" s="4"/>
      <c r="E2" s="4"/>
      <c r="F2" s="4"/>
      <c r="G2" s="4"/>
      <c r="H2" s="4"/>
      <c r="I2" s="217"/>
      <c r="J2" s="217"/>
      <c r="K2" s="4"/>
      <c r="L2" s="4"/>
      <c r="M2" s="4"/>
      <c r="N2" s="4"/>
      <c r="O2" s="4"/>
      <c r="P2" s="4"/>
      <c r="Q2" s="217"/>
      <c r="R2" s="217"/>
      <c r="S2" s="4"/>
      <c r="T2" s="4"/>
    </row>
    <row r="3" spans="1:20" ht="15.75">
      <c r="B3" s="62" t="s">
        <v>419</v>
      </c>
      <c r="C3" s="4"/>
      <c r="D3" s="4"/>
      <c r="E3" s="4"/>
      <c r="F3" s="4"/>
      <c r="G3" s="4"/>
      <c r="H3" s="4"/>
      <c r="I3" s="217"/>
      <c r="J3" s="217"/>
      <c r="K3" s="4"/>
      <c r="L3" s="4"/>
      <c r="M3" s="4"/>
      <c r="N3" s="4"/>
      <c r="O3" s="4"/>
      <c r="P3" s="4"/>
      <c r="Q3" s="217"/>
      <c r="R3" s="217"/>
      <c r="S3" s="4"/>
      <c r="T3" s="4"/>
    </row>
    <row r="4" spans="1:20">
      <c r="B4" s="4" t="s">
        <v>567</v>
      </c>
      <c r="C4" s="4"/>
      <c r="D4" s="4"/>
      <c r="E4" s="4"/>
      <c r="F4" s="4"/>
      <c r="G4" s="4"/>
      <c r="H4" s="4"/>
      <c r="I4" s="217"/>
      <c r="J4" s="217"/>
      <c r="K4" s="4"/>
      <c r="L4" s="4"/>
      <c r="M4" s="4"/>
      <c r="N4" s="4"/>
      <c r="O4" s="4"/>
      <c r="P4" s="4"/>
      <c r="Q4" s="217"/>
      <c r="R4" s="217"/>
      <c r="S4" s="4"/>
      <c r="T4" s="4"/>
    </row>
    <row r="5" spans="1:20" ht="48.75" customHeight="1">
      <c r="B5" s="315" t="s">
        <v>324</v>
      </c>
      <c r="C5" s="310" t="s">
        <v>420</v>
      </c>
      <c r="D5" s="311"/>
      <c r="E5" s="21" t="s">
        <v>421</v>
      </c>
      <c r="F5" s="19"/>
      <c r="G5" s="21" t="s">
        <v>422</v>
      </c>
      <c r="H5" s="19"/>
      <c r="I5" s="268" t="s">
        <v>423</v>
      </c>
      <c r="J5" s="269"/>
      <c r="K5" s="21" t="s">
        <v>424</v>
      </c>
      <c r="L5" s="19"/>
      <c r="M5" s="319" t="s">
        <v>429</v>
      </c>
      <c r="N5" s="319"/>
      <c r="O5" s="317" t="s">
        <v>430</v>
      </c>
      <c r="P5" s="318"/>
      <c r="Q5" s="320" t="s">
        <v>431</v>
      </c>
      <c r="R5" s="320"/>
      <c r="S5" s="317" t="s">
        <v>432</v>
      </c>
      <c r="T5" s="318"/>
    </row>
    <row r="6" spans="1:20">
      <c r="B6" s="316"/>
      <c r="C6" s="111" t="s">
        <v>289</v>
      </c>
      <c r="D6" s="112" t="s">
        <v>425</v>
      </c>
      <c r="E6" s="111" t="s">
        <v>289</v>
      </c>
      <c r="F6" s="112" t="s">
        <v>425</v>
      </c>
      <c r="G6" s="111" t="s">
        <v>289</v>
      </c>
      <c r="H6" s="112" t="s">
        <v>425</v>
      </c>
      <c r="I6" s="215" t="s">
        <v>289</v>
      </c>
      <c r="J6" s="218" t="s">
        <v>425</v>
      </c>
      <c r="K6" s="111" t="s">
        <v>289</v>
      </c>
      <c r="L6" s="112" t="s">
        <v>425</v>
      </c>
      <c r="M6" s="122" t="s">
        <v>289</v>
      </c>
      <c r="N6" s="122" t="s">
        <v>425</v>
      </c>
      <c r="O6" s="122" t="s">
        <v>289</v>
      </c>
      <c r="P6" s="122" t="s">
        <v>425</v>
      </c>
      <c r="Q6" s="229" t="s">
        <v>289</v>
      </c>
      <c r="R6" s="229" t="s">
        <v>425</v>
      </c>
      <c r="S6" s="122" t="s">
        <v>289</v>
      </c>
      <c r="T6" s="122" t="s">
        <v>425</v>
      </c>
    </row>
    <row r="7" spans="1:20" ht="20.100000000000001" customHeight="1">
      <c r="B7" s="97" t="s">
        <v>156</v>
      </c>
      <c r="C7" s="113">
        <v>31847</v>
      </c>
      <c r="D7" s="114">
        <v>28</v>
      </c>
      <c r="E7" s="113">
        <v>94570</v>
      </c>
      <c r="F7" s="114">
        <v>83.2</v>
      </c>
      <c r="G7" s="113">
        <v>10556</v>
      </c>
      <c r="H7" s="114">
        <v>9.3000000000000007</v>
      </c>
      <c r="I7" s="219">
        <v>25033</v>
      </c>
      <c r="J7" s="220">
        <v>22</v>
      </c>
      <c r="K7" s="113">
        <v>889</v>
      </c>
      <c r="L7" s="115">
        <v>0.8</v>
      </c>
      <c r="M7" s="125">
        <v>2984</v>
      </c>
      <c r="N7" s="126">
        <v>2.6</v>
      </c>
      <c r="O7" s="125">
        <v>10843</v>
      </c>
      <c r="P7" s="128">
        <v>9.5</v>
      </c>
      <c r="Q7" s="230">
        <v>15042</v>
      </c>
      <c r="R7" s="231">
        <v>13.2</v>
      </c>
      <c r="S7" s="124">
        <v>2171</v>
      </c>
      <c r="T7" s="128">
        <v>1.9</v>
      </c>
    </row>
    <row r="8" spans="1:20">
      <c r="B8" s="83"/>
      <c r="C8" s="60"/>
      <c r="D8" s="116"/>
      <c r="E8" s="60"/>
      <c r="F8" s="116"/>
      <c r="G8" s="60"/>
      <c r="H8" s="116"/>
      <c r="I8" s="221"/>
      <c r="J8" s="222"/>
      <c r="K8" s="60"/>
      <c r="L8" s="116"/>
      <c r="M8" s="89"/>
      <c r="N8" s="105"/>
      <c r="O8" s="89"/>
      <c r="P8" s="104"/>
      <c r="Q8" s="232"/>
      <c r="R8" s="233"/>
      <c r="S8" s="123"/>
      <c r="T8" s="104"/>
    </row>
    <row r="9" spans="1:20" ht="15" customHeight="1">
      <c r="B9" s="88" t="s">
        <v>332</v>
      </c>
      <c r="C9" s="49">
        <v>18</v>
      </c>
      <c r="D9" s="117">
        <v>30.5</v>
      </c>
      <c r="E9" s="49">
        <v>55</v>
      </c>
      <c r="F9" s="117">
        <v>93.2</v>
      </c>
      <c r="G9" s="49">
        <v>6</v>
      </c>
      <c r="H9" s="118">
        <v>10.199999999999999</v>
      </c>
      <c r="I9" s="223">
        <v>29</v>
      </c>
      <c r="J9" s="224">
        <v>49.2</v>
      </c>
      <c r="K9" s="90">
        <v>1</v>
      </c>
      <c r="L9" s="105" t="s">
        <v>292</v>
      </c>
      <c r="M9" s="89" t="s">
        <v>284</v>
      </c>
      <c r="N9" s="89" t="s">
        <v>284</v>
      </c>
      <c r="O9" s="89">
        <v>4</v>
      </c>
      <c r="P9" s="105" t="s">
        <v>292</v>
      </c>
      <c r="Q9" s="232">
        <v>10</v>
      </c>
      <c r="R9" s="233">
        <v>16.899999999999999</v>
      </c>
      <c r="S9" s="123">
        <v>1</v>
      </c>
      <c r="T9" s="104" t="s">
        <v>292</v>
      </c>
    </row>
    <row r="10" spans="1:20" ht="15" customHeight="1">
      <c r="B10" s="88" t="s">
        <v>333</v>
      </c>
      <c r="C10" s="49">
        <v>22</v>
      </c>
      <c r="D10" s="117">
        <v>31</v>
      </c>
      <c r="E10" s="49">
        <v>60</v>
      </c>
      <c r="F10" s="117">
        <v>84.5</v>
      </c>
      <c r="G10" s="49">
        <v>9</v>
      </c>
      <c r="H10" s="118">
        <v>12.7</v>
      </c>
      <c r="I10" s="223">
        <v>29</v>
      </c>
      <c r="J10" s="224">
        <v>40.799999999999997</v>
      </c>
      <c r="K10" s="90" t="s">
        <v>284</v>
      </c>
      <c r="L10" s="90" t="s">
        <v>284</v>
      </c>
      <c r="M10" s="89" t="s">
        <v>284</v>
      </c>
      <c r="N10" s="89" t="s">
        <v>284</v>
      </c>
      <c r="O10" s="89">
        <v>9</v>
      </c>
      <c r="P10" s="104">
        <v>12.7</v>
      </c>
      <c r="Q10" s="232">
        <v>7</v>
      </c>
      <c r="R10" s="233">
        <v>9.9</v>
      </c>
      <c r="S10" s="89">
        <v>1</v>
      </c>
      <c r="T10" s="104" t="s">
        <v>292</v>
      </c>
    </row>
    <row r="11" spans="1:20" ht="15" customHeight="1">
      <c r="B11" s="88" t="s">
        <v>334</v>
      </c>
      <c r="C11" s="49">
        <v>329</v>
      </c>
      <c r="D11" s="117">
        <v>25.3</v>
      </c>
      <c r="E11" s="49">
        <v>1091</v>
      </c>
      <c r="F11" s="117">
        <v>84</v>
      </c>
      <c r="G11" s="49">
        <v>129</v>
      </c>
      <c r="H11" s="118">
        <v>9.9</v>
      </c>
      <c r="I11" s="223">
        <v>271</v>
      </c>
      <c r="J11" s="224">
        <v>20.9</v>
      </c>
      <c r="K11" s="90">
        <v>22</v>
      </c>
      <c r="L11" s="117">
        <v>1.7</v>
      </c>
      <c r="M11" s="89">
        <v>9</v>
      </c>
      <c r="N11" s="105">
        <v>0.7</v>
      </c>
      <c r="O11" s="89">
        <v>138</v>
      </c>
      <c r="P11" s="104">
        <v>10.6</v>
      </c>
      <c r="Q11" s="232">
        <v>138</v>
      </c>
      <c r="R11" s="233">
        <v>10.6</v>
      </c>
      <c r="S11" s="123">
        <v>26</v>
      </c>
      <c r="T11" s="104">
        <v>2</v>
      </c>
    </row>
    <row r="12" spans="1:20" ht="15" customHeight="1">
      <c r="B12" s="88" t="s">
        <v>335</v>
      </c>
      <c r="C12" s="49">
        <v>96</v>
      </c>
      <c r="D12" s="117">
        <v>36.5</v>
      </c>
      <c r="E12" s="49">
        <v>238</v>
      </c>
      <c r="F12" s="117">
        <v>90.5</v>
      </c>
      <c r="G12" s="49">
        <v>38</v>
      </c>
      <c r="H12" s="118">
        <v>14.4</v>
      </c>
      <c r="I12" s="223">
        <v>139</v>
      </c>
      <c r="J12" s="224">
        <v>52.9</v>
      </c>
      <c r="K12" s="90">
        <v>4</v>
      </c>
      <c r="L12" s="105" t="s">
        <v>292</v>
      </c>
      <c r="M12" s="89">
        <v>6</v>
      </c>
      <c r="N12" s="105">
        <v>2.2999999999999998</v>
      </c>
      <c r="O12" s="89">
        <v>6</v>
      </c>
      <c r="P12" s="104">
        <v>2.2999999999999998</v>
      </c>
      <c r="Q12" s="232">
        <v>29</v>
      </c>
      <c r="R12" s="233">
        <v>11</v>
      </c>
      <c r="S12" s="123">
        <v>6</v>
      </c>
      <c r="T12" s="104">
        <v>2.2999999999999998</v>
      </c>
    </row>
    <row r="13" spans="1:20" ht="15" customHeight="1">
      <c r="B13" s="88" t="s">
        <v>336</v>
      </c>
      <c r="C13" s="49">
        <v>49</v>
      </c>
      <c r="D13" s="117">
        <v>24.9</v>
      </c>
      <c r="E13" s="49">
        <v>126</v>
      </c>
      <c r="F13" s="117">
        <v>64</v>
      </c>
      <c r="G13" s="49">
        <v>21</v>
      </c>
      <c r="H13" s="118">
        <v>10.7</v>
      </c>
      <c r="I13" s="223">
        <v>64</v>
      </c>
      <c r="J13" s="224">
        <v>32.5</v>
      </c>
      <c r="K13" s="90" t="s">
        <v>284</v>
      </c>
      <c r="L13" s="90" t="s">
        <v>284</v>
      </c>
      <c r="M13" s="89">
        <v>5</v>
      </c>
      <c r="N13" s="105" t="s">
        <v>292</v>
      </c>
      <c r="O13" s="89">
        <v>12</v>
      </c>
      <c r="P13" s="104">
        <v>6.1</v>
      </c>
      <c r="Q13" s="232">
        <v>21</v>
      </c>
      <c r="R13" s="233">
        <v>10.7</v>
      </c>
      <c r="S13" s="123">
        <v>4</v>
      </c>
      <c r="T13" s="104" t="s">
        <v>292</v>
      </c>
    </row>
    <row r="14" spans="1:20" ht="12.75" customHeight="1">
      <c r="B14" s="88"/>
      <c r="C14" s="49"/>
      <c r="D14" s="117"/>
      <c r="E14" s="49"/>
      <c r="F14" s="117"/>
      <c r="G14" s="49"/>
      <c r="H14" s="118"/>
      <c r="I14" s="223"/>
      <c r="J14" s="224"/>
      <c r="K14" s="90"/>
      <c r="L14" s="117"/>
      <c r="M14" s="89"/>
      <c r="N14" s="105"/>
      <c r="O14" s="89"/>
      <c r="P14" s="104"/>
      <c r="Q14" s="232"/>
      <c r="R14" s="233"/>
      <c r="S14" s="123"/>
      <c r="T14" s="104"/>
    </row>
    <row r="15" spans="1:20" ht="15" customHeight="1">
      <c r="B15" s="88" t="s">
        <v>337</v>
      </c>
      <c r="C15" s="49">
        <v>32</v>
      </c>
      <c r="D15" s="117">
        <v>29.1</v>
      </c>
      <c r="E15" s="49">
        <v>72</v>
      </c>
      <c r="F15" s="117">
        <v>65.5</v>
      </c>
      <c r="G15" s="49">
        <v>8</v>
      </c>
      <c r="H15" s="118">
        <v>7.3</v>
      </c>
      <c r="I15" s="223">
        <v>29</v>
      </c>
      <c r="J15" s="224">
        <v>26.4</v>
      </c>
      <c r="K15" s="90" t="s">
        <v>284</v>
      </c>
      <c r="L15" s="90" t="s">
        <v>284</v>
      </c>
      <c r="M15" s="89">
        <v>3</v>
      </c>
      <c r="N15" s="118" t="s">
        <v>292</v>
      </c>
      <c r="O15" s="89">
        <v>9</v>
      </c>
      <c r="P15" s="104">
        <v>8.1999999999999993</v>
      </c>
      <c r="Q15" s="232">
        <v>15</v>
      </c>
      <c r="R15" s="233">
        <v>13.6</v>
      </c>
      <c r="S15" s="123">
        <v>4</v>
      </c>
      <c r="T15" s="104" t="s">
        <v>292</v>
      </c>
    </row>
    <row r="16" spans="1:20" ht="15" customHeight="1">
      <c r="B16" s="88" t="s">
        <v>338</v>
      </c>
      <c r="C16" s="49">
        <v>26</v>
      </c>
      <c r="D16" s="117">
        <v>32.9</v>
      </c>
      <c r="E16" s="49">
        <v>71</v>
      </c>
      <c r="F16" s="117">
        <v>89.9</v>
      </c>
      <c r="G16" s="49">
        <v>16</v>
      </c>
      <c r="H16" s="118">
        <v>20.3</v>
      </c>
      <c r="I16" s="223">
        <v>38</v>
      </c>
      <c r="J16" s="224">
        <v>48.1</v>
      </c>
      <c r="K16" s="90">
        <v>1</v>
      </c>
      <c r="L16" s="105" t="s">
        <v>292</v>
      </c>
      <c r="M16" s="89">
        <v>2</v>
      </c>
      <c r="N16" s="127" t="s">
        <v>292</v>
      </c>
      <c r="O16" s="89">
        <v>7</v>
      </c>
      <c r="P16" s="104">
        <v>8.9</v>
      </c>
      <c r="Q16" s="232">
        <v>9</v>
      </c>
      <c r="R16" s="233">
        <v>11.4</v>
      </c>
      <c r="S16" s="123">
        <v>1</v>
      </c>
      <c r="T16" s="104" t="s">
        <v>292</v>
      </c>
    </row>
    <row r="17" spans="2:20" ht="15" customHeight="1">
      <c r="B17" s="88" t="s">
        <v>339</v>
      </c>
      <c r="C17" s="49">
        <v>140</v>
      </c>
      <c r="D17" s="117">
        <v>24.1</v>
      </c>
      <c r="E17" s="49">
        <v>489</v>
      </c>
      <c r="F17" s="117">
        <v>84.3</v>
      </c>
      <c r="G17" s="49">
        <v>37</v>
      </c>
      <c r="H17" s="118">
        <v>6.4</v>
      </c>
      <c r="I17" s="223">
        <v>142</v>
      </c>
      <c r="J17" s="224">
        <v>24.5</v>
      </c>
      <c r="K17" s="90">
        <v>4</v>
      </c>
      <c r="L17" s="118" t="s">
        <v>292</v>
      </c>
      <c r="M17" s="89">
        <v>7</v>
      </c>
      <c r="N17" s="105">
        <v>1.2</v>
      </c>
      <c r="O17" s="89">
        <v>55</v>
      </c>
      <c r="P17" s="104">
        <v>9.5</v>
      </c>
      <c r="Q17" s="232">
        <v>48</v>
      </c>
      <c r="R17" s="233">
        <v>8.3000000000000007</v>
      </c>
      <c r="S17" s="123">
        <v>4</v>
      </c>
      <c r="T17" s="104" t="s">
        <v>292</v>
      </c>
    </row>
    <row r="18" spans="2:20" ht="15" customHeight="1">
      <c r="B18" s="88" t="s">
        <v>340</v>
      </c>
      <c r="C18" s="49">
        <v>313</v>
      </c>
      <c r="D18" s="117">
        <v>30</v>
      </c>
      <c r="E18" s="49">
        <v>737</v>
      </c>
      <c r="F18" s="117">
        <v>70.7</v>
      </c>
      <c r="G18" s="49">
        <v>92</v>
      </c>
      <c r="H18" s="118">
        <v>8.8000000000000007</v>
      </c>
      <c r="I18" s="223">
        <v>371</v>
      </c>
      <c r="J18" s="224">
        <v>35.6</v>
      </c>
      <c r="K18" s="90">
        <v>8</v>
      </c>
      <c r="L18" s="118">
        <v>0.8</v>
      </c>
      <c r="M18" s="89">
        <v>26</v>
      </c>
      <c r="N18" s="105">
        <v>2.5</v>
      </c>
      <c r="O18" s="89">
        <v>29</v>
      </c>
      <c r="P18" s="104">
        <v>2.8</v>
      </c>
      <c r="Q18" s="232">
        <v>121</v>
      </c>
      <c r="R18" s="233">
        <v>11.6</v>
      </c>
      <c r="S18" s="123">
        <v>20</v>
      </c>
      <c r="T18" s="104">
        <v>1.9</v>
      </c>
    </row>
    <row r="19" spans="2:20" ht="15" customHeight="1">
      <c r="B19" s="88" t="s">
        <v>341</v>
      </c>
      <c r="C19" s="49">
        <v>42</v>
      </c>
      <c r="D19" s="117">
        <v>26.9</v>
      </c>
      <c r="E19" s="49">
        <v>113</v>
      </c>
      <c r="F19" s="117">
        <v>72.400000000000006</v>
      </c>
      <c r="G19" s="49">
        <v>20</v>
      </c>
      <c r="H19" s="118">
        <v>12.8</v>
      </c>
      <c r="I19" s="223">
        <v>50</v>
      </c>
      <c r="J19" s="224">
        <v>32.1</v>
      </c>
      <c r="K19" s="90">
        <v>1</v>
      </c>
      <c r="L19" s="90" t="s">
        <v>292</v>
      </c>
      <c r="M19" s="89">
        <v>3</v>
      </c>
      <c r="N19" s="105" t="s">
        <v>292</v>
      </c>
      <c r="O19" s="89">
        <v>3</v>
      </c>
      <c r="P19" s="105" t="s">
        <v>292</v>
      </c>
      <c r="Q19" s="232">
        <v>7</v>
      </c>
      <c r="R19" s="233">
        <v>4.5</v>
      </c>
      <c r="S19" s="123">
        <v>2</v>
      </c>
      <c r="T19" s="104" t="s">
        <v>292</v>
      </c>
    </row>
    <row r="20" spans="2:20" ht="12.75" customHeight="1">
      <c r="B20" s="83"/>
      <c r="C20" s="49"/>
      <c r="D20" s="117"/>
      <c r="E20" s="49"/>
      <c r="F20" s="117"/>
      <c r="G20" s="49"/>
      <c r="H20" s="118"/>
      <c r="I20" s="223"/>
      <c r="J20" s="224"/>
      <c r="K20" s="90"/>
      <c r="L20" s="117"/>
      <c r="M20" s="89"/>
      <c r="N20" s="105"/>
      <c r="O20" s="89"/>
      <c r="P20" s="104"/>
      <c r="Q20" s="232"/>
      <c r="R20" s="233"/>
      <c r="S20" s="123"/>
      <c r="T20" s="104"/>
    </row>
    <row r="21" spans="2:20" ht="15" customHeight="1">
      <c r="B21" s="88" t="s">
        <v>342</v>
      </c>
      <c r="C21" s="49">
        <v>480</v>
      </c>
      <c r="D21" s="117">
        <v>25.3</v>
      </c>
      <c r="E21" s="49">
        <v>1618</v>
      </c>
      <c r="F21" s="117">
        <v>85.3</v>
      </c>
      <c r="G21" s="49">
        <v>152</v>
      </c>
      <c r="H21" s="118">
        <v>8</v>
      </c>
      <c r="I21" s="223">
        <v>434</v>
      </c>
      <c r="J21" s="224">
        <v>22.9</v>
      </c>
      <c r="K21" s="90">
        <v>10</v>
      </c>
      <c r="L21" s="118">
        <v>0.5</v>
      </c>
      <c r="M21" s="89">
        <v>8</v>
      </c>
      <c r="N21" s="105">
        <v>0.4</v>
      </c>
      <c r="O21" s="89">
        <v>178</v>
      </c>
      <c r="P21" s="104">
        <v>9.4</v>
      </c>
      <c r="Q21" s="232">
        <v>319</v>
      </c>
      <c r="R21" s="233">
        <v>16.8</v>
      </c>
      <c r="S21" s="123">
        <v>48</v>
      </c>
      <c r="T21" s="104">
        <v>2.5</v>
      </c>
    </row>
    <row r="22" spans="2:20" ht="15" customHeight="1">
      <c r="B22" s="88" t="s">
        <v>343</v>
      </c>
      <c r="C22" s="49">
        <v>176</v>
      </c>
      <c r="D22" s="117">
        <v>31</v>
      </c>
      <c r="E22" s="49">
        <v>407</v>
      </c>
      <c r="F22" s="117">
        <v>71.8</v>
      </c>
      <c r="G22" s="49">
        <v>51</v>
      </c>
      <c r="H22" s="118">
        <v>9</v>
      </c>
      <c r="I22" s="223">
        <v>155</v>
      </c>
      <c r="J22" s="224">
        <v>27.3</v>
      </c>
      <c r="K22" s="90" t="s">
        <v>284</v>
      </c>
      <c r="L22" s="90" t="s">
        <v>284</v>
      </c>
      <c r="M22" s="89">
        <v>9</v>
      </c>
      <c r="N22" s="105">
        <v>1.6</v>
      </c>
      <c r="O22" s="89">
        <v>69</v>
      </c>
      <c r="P22" s="104">
        <v>12.2</v>
      </c>
      <c r="Q22" s="232">
        <v>165</v>
      </c>
      <c r="R22" s="233">
        <v>29.1</v>
      </c>
      <c r="S22" s="123">
        <v>16</v>
      </c>
      <c r="T22" s="104">
        <v>2.8</v>
      </c>
    </row>
    <row r="23" spans="2:20" ht="15" customHeight="1">
      <c r="B23" s="88" t="s">
        <v>344</v>
      </c>
      <c r="C23" s="49">
        <v>532</v>
      </c>
      <c r="D23" s="117">
        <v>31.3</v>
      </c>
      <c r="E23" s="49">
        <v>1331</v>
      </c>
      <c r="F23" s="117">
        <v>78.400000000000006</v>
      </c>
      <c r="G23" s="49">
        <v>140</v>
      </c>
      <c r="H23" s="118">
        <v>8.1999999999999993</v>
      </c>
      <c r="I23" s="223">
        <v>440</v>
      </c>
      <c r="J23" s="224">
        <v>25.9</v>
      </c>
      <c r="K23" s="90">
        <v>25</v>
      </c>
      <c r="L23" s="117">
        <v>1.5</v>
      </c>
      <c r="M23" s="89">
        <v>40</v>
      </c>
      <c r="N23" s="105">
        <v>2.4</v>
      </c>
      <c r="O23" s="89">
        <v>172</v>
      </c>
      <c r="P23" s="104">
        <v>10.1</v>
      </c>
      <c r="Q23" s="232">
        <v>324</v>
      </c>
      <c r="R23" s="233">
        <v>19.100000000000001</v>
      </c>
      <c r="S23" s="123">
        <v>56</v>
      </c>
      <c r="T23" s="104">
        <v>3.3</v>
      </c>
    </row>
    <row r="24" spans="2:20" ht="15" customHeight="1">
      <c r="B24" s="88" t="s">
        <v>345</v>
      </c>
      <c r="C24" s="49">
        <v>147</v>
      </c>
      <c r="D24" s="117">
        <v>31.3</v>
      </c>
      <c r="E24" s="49">
        <v>407</v>
      </c>
      <c r="F24" s="117">
        <v>86.6</v>
      </c>
      <c r="G24" s="49">
        <v>53</v>
      </c>
      <c r="H24" s="118">
        <v>11.3</v>
      </c>
      <c r="I24" s="223">
        <v>158</v>
      </c>
      <c r="J24" s="224">
        <v>33.6</v>
      </c>
      <c r="K24" s="90">
        <v>6</v>
      </c>
      <c r="L24" s="117">
        <v>1.3</v>
      </c>
      <c r="M24" s="89">
        <v>1</v>
      </c>
      <c r="N24" s="105" t="s">
        <v>292</v>
      </c>
      <c r="O24" s="89">
        <v>38</v>
      </c>
      <c r="P24" s="104">
        <v>8.1</v>
      </c>
      <c r="Q24" s="232">
        <v>95</v>
      </c>
      <c r="R24" s="233">
        <v>20.2</v>
      </c>
      <c r="S24" s="123">
        <v>8</v>
      </c>
      <c r="T24" s="104">
        <v>1.7</v>
      </c>
    </row>
    <row r="25" spans="2:20" ht="15" customHeight="1">
      <c r="B25" s="88" t="s">
        <v>346</v>
      </c>
      <c r="C25" s="49">
        <v>59</v>
      </c>
      <c r="D25" s="117">
        <v>26</v>
      </c>
      <c r="E25" s="49">
        <v>131</v>
      </c>
      <c r="F25" s="117">
        <v>57.7</v>
      </c>
      <c r="G25" s="49">
        <v>14</v>
      </c>
      <c r="H25" s="118">
        <v>6.2</v>
      </c>
      <c r="I25" s="223">
        <v>70</v>
      </c>
      <c r="J25" s="224">
        <v>30.8</v>
      </c>
      <c r="K25" s="90">
        <v>2</v>
      </c>
      <c r="L25" s="118" t="s">
        <v>292</v>
      </c>
      <c r="M25" s="89">
        <v>3</v>
      </c>
      <c r="N25" s="105" t="s">
        <v>292</v>
      </c>
      <c r="O25" s="89">
        <v>19</v>
      </c>
      <c r="P25" s="104">
        <v>8.4</v>
      </c>
      <c r="Q25" s="232">
        <v>19</v>
      </c>
      <c r="R25" s="233">
        <v>8.4</v>
      </c>
      <c r="S25" s="123">
        <v>2</v>
      </c>
      <c r="T25" s="104" t="s">
        <v>292</v>
      </c>
    </row>
    <row r="26" spans="2:20" ht="12.75" customHeight="1">
      <c r="B26" s="88"/>
      <c r="C26" s="49"/>
      <c r="D26" s="117"/>
      <c r="E26" s="49"/>
      <c r="F26" s="117"/>
      <c r="G26" s="49"/>
      <c r="H26" s="118"/>
      <c r="I26" s="223"/>
      <c r="J26" s="224"/>
      <c r="K26" s="90"/>
      <c r="L26" s="117"/>
      <c r="M26" s="89"/>
      <c r="N26" s="105"/>
      <c r="O26" s="89"/>
      <c r="P26" s="104"/>
      <c r="Q26" s="232"/>
      <c r="R26" s="233"/>
      <c r="S26" s="123"/>
      <c r="T26" s="104"/>
    </row>
    <row r="27" spans="2:20" ht="15" customHeight="1">
      <c r="B27" s="88" t="s">
        <v>347</v>
      </c>
      <c r="C27" s="49">
        <v>43</v>
      </c>
      <c r="D27" s="117">
        <v>22.4</v>
      </c>
      <c r="E27" s="49">
        <v>109</v>
      </c>
      <c r="F27" s="117">
        <v>56.8</v>
      </c>
      <c r="G27" s="49">
        <v>10</v>
      </c>
      <c r="H27" s="118">
        <v>5.2</v>
      </c>
      <c r="I27" s="223">
        <v>63</v>
      </c>
      <c r="J27" s="224">
        <v>32.799999999999997</v>
      </c>
      <c r="K27" s="90">
        <v>2</v>
      </c>
      <c r="L27" s="90" t="s">
        <v>292</v>
      </c>
      <c r="M27" s="89">
        <v>4</v>
      </c>
      <c r="N27" s="105" t="s">
        <v>292</v>
      </c>
      <c r="O27" s="89">
        <v>15</v>
      </c>
      <c r="P27" s="104">
        <v>7.8</v>
      </c>
      <c r="Q27" s="232">
        <v>16</v>
      </c>
      <c r="R27" s="233">
        <v>8.3000000000000007</v>
      </c>
      <c r="S27" s="123">
        <v>1</v>
      </c>
      <c r="T27" s="104" t="s">
        <v>292</v>
      </c>
    </row>
    <row r="28" spans="2:20" ht="15" customHeight="1">
      <c r="B28" s="88" t="s">
        <v>348</v>
      </c>
      <c r="C28" s="49">
        <v>99</v>
      </c>
      <c r="D28" s="117">
        <v>29.2</v>
      </c>
      <c r="E28" s="49">
        <v>204</v>
      </c>
      <c r="F28" s="117">
        <v>60.2</v>
      </c>
      <c r="G28" s="49">
        <v>40</v>
      </c>
      <c r="H28" s="118">
        <v>11.8</v>
      </c>
      <c r="I28" s="223">
        <v>134</v>
      </c>
      <c r="J28" s="224">
        <v>39.5</v>
      </c>
      <c r="K28" s="90">
        <v>3</v>
      </c>
      <c r="L28" s="118" t="s">
        <v>292</v>
      </c>
      <c r="M28" s="89">
        <v>11</v>
      </c>
      <c r="N28" s="105">
        <v>3.2</v>
      </c>
      <c r="O28" s="89">
        <v>12</v>
      </c>
      <c r="P28" s="104">
        <v>3.5</v>
      </c>
      <c r="Q28" s="232">
        <v>31</v>
      </c>
      <c r="R28" s="233">
        <v>9.1</v>
      </c>
      <c r="S28" s="123">
        <v>11</v>
      </c>
      <c r="T28" s="104">
        <v>3.2</v>
      </c>
    </row>
    <row r="29" spans="2:20" ht="15" customHeight="1">
      <c r="B29" s="88" t="s">
        <v>349</v>
      </c>
      <c r="C29" s="49">
        <v>81</v>
      </c>
      <c r="D29" s="117">
        <v>27</v>
      </c>
      <c r="E29" s="49">
        <v>228</v>
      </c>
      <c r="F29" s="117">
        <v>76</v>
      </c>
      <c r="G29" s="49">
        <v>35</v>
      </c>
      <c r="H29" s="118">
        <v>11.7</v>
      </c>
      <c r="I29" s="223">
        <v>123</v>
      </c>
      <c r="J29" s="224">
        <v>41</v>
      </c>
      <c r="K29" s="90">
        <v>2</v>
      </c>
      <c r="L29" s="105" t="s">
        <v>292</v>
      </c>
      <c r="M29" s="89">
        <v>10</v>
      </c>
      <c r="N29" s="105">
        <v>3.3</v>
      </c>
      <c r="O29" s="89">
        <v>38</v>
      </c>
      <c r="P29" s="104">
        <v>12.7</v>
      </c>
      <c r="Q29" s="232">
        <v>72</v>
      </c>
      <c r="R29" s="233">
        <v>24</v>
      </c>
      <c r="S29" s="123">
        <v>7</v>
      </c>
      <c r="T29" s="104">
        <v>2.2999999999999998</v>
      </c>
    </row>
    <row r="30" spans="2:20" ht="15" customHeight="1">
      <c r="B30" s="88" t="s">
        <v>350</v>
      </c>
      <c r="C30" s="49">
        <v>222</v>
      </c>
      <c r="D30" s="117">
        <v>27.6</v>
      </c>
      <c r="E30" s="49">
        <v>739</v>
      </c>
      <c r="F30" s="117">
        <v>92</v>
      </c>
      <c r="G30" s="49">
        <v>24</v>
      </c>
      <c r="H30" s="118">
        <v>3</v>
      </c>
      <c r="I30" s="223">
        <v>197</v>
      </c>
      <c r="J30" s="224">
        <v>24.5</v>
      </c>
      <c r="K30" s="90">
        <v>1</v>
      </c>
      <c r="L30" s="118" t="s">
        <v>292</v>
      </c>
      <c r="M30" s="89">
        <v>12</v>
      </c>
      <c r="N30" s="105">
        <v>1.5</v>
      </c>
      <c r="O30" s="89">
        <v>41</v>
      </c>
      <c r="P30" s="104">
        <v>5.0999999999999996</v>
      </c>
      <c r="Q30" s="232">
        <v>42</v>
      </c>
      <c r="R30" s="233">
        <v>5.2</v>
      </c>
      <c r="S30" s="123">
        <v>12</v>
      </c>
      <c r="T30" s="104">
        <v>1.5</v>
      </c>
    </row>
    <row r="31" spans="2:20" ht="15" customHeight="1">
      <c r="B31" s="88" t="s">
        <v>351</v>
      </c>
      <c r="C31" s="49">
        <v>32</v>
      </c>
      <c r="D31" s="117">
        <v>29.1</v>
      </c>
      <c r="E31" s="49">
        <v>90</v>
      </c>
      <c r="F31" s="117">
        <v>81.8</v>
      </c>
      <c r="G31" s="49">
        <v>15</v>
      </c>
      <c r="H31" s="118">
        <v>13.6</v>
      </c>
      <c r="I31" s="223">
        <v>43</v>
      </c>
      <c r="J31" s="224">
        <v>39.1</v>
      </c>
      <c r="K31" s="90">
        <v>2</v>
      </c>
      <c r="L31" s="118" t="s">
        <v>292</v>
      </c>
      <c r="M31" s="89">
        <v>2</v>
      </c>
      <c r="N31" s="105" t="s">
        <v>292</v>
      </c>
      <c r="O31" s="89">
        <v>1</v>
      </c>
      <c r="P31" s="104" t="s">
        <v>292</v>
      </c>
      <c r="Q31" s="232">
        <v>22</v>
      </c>
      <c r="R31" s="233">
        <v>20</v>
      </c>
      <c r="S31" s="90" t="s">
        <v>284</v>
      </c>
      <c r="T31" s="90" t="s">
        <v>284</v>
      </c>
    </row>
    <row r="32" spans="2:20" ht="12.75" customHeight="1">
      <c r="B32" s="83"/>
      <c r="C32" s="49"/>
      <c r="D32" s="117"/>
      <c r="E32" s="49"/>
      <c r="F32" s="117"/>
      <c r="G32" s="49"/>
      <c r="H32" s="118"/>
      <c r="I32" s="223"/>
      <c r="J32" s="224"/>
      <c r="K32" s="90"/>
      <c r="L32" s="117"/>
      <c r="M32" s="89"/>
      <c r="N32" s="105"/>
      <c r="O32" s="89"/>
      <c r="P32" s="104"/>
      <c r="Q32" s="232"/>
      <c r="R32" s="233"/>
      <c r="S32" s="123"/>
      <c r="T32" s="104"/>
    </row>
    <row r="33" spans="2:20" ht="15" customHeight="1">
      <c r="B33" s="88" t="s">
        <v>352</v>
      </c>
      <c r="C33" s="49">
        <v>119</v>
      </c>
      <c r="D33" s="117">
        <v>33.6</v>
      </c>
      <c r="E33" s="49">
        <v>237</v>
      </c>
      <c r="F33" s="117">
        <v>66.900000000000006</v>
      </c>
      <c r="G33" s="49">
        <v>38</v>
      </c>
      <c r="H33" s="118">
        <v>10.7</v>
      </c>
      <c r="I33" s="223">
        <v>132</v>
      </c>
      <c r="J33" s="224">
        <v>37.299999999999997</v>
      </c>
      <c r="K33" s="90">
        <v>4</v>
      </c>
      <c r="L33" s="118" t="s">
        <v>292</v>
      </c>
      <c r="M33" s="89">
        <v>5</v>
      </c>
      <c r="N33" s="105" t="s">
        <v>292</v>
      </c>
      <c r="O33" s="89">
        <v>16</v>
      </c>
      <c r="P33" s="104">
        <v>4.5</v>
      </c>
      <c r="Q33" s="232">
        <v>33</v>
      </c>
      <c r="R33" s="233">
        <v>9.3000000000000007</v>
      </c>
      <c r="S33" s="123">
        <v>6</v>
      </c>
      <c r="T33" s="104">
        <v>1.7</v>
      </c>
    </row>
    <row r="34" spans="2:20" ht="15" customHeight="1">
      <c r="B34" s="88" t="s">
        <v>353</v>
      </c>
      <c r="C34" s="49">
        <v>75</v>
      </c>
      <c r="D34" s="117">
        <v>27.2</v>
      </c>
      <c r="E34" s="49">
        <v>170</v>
      </c>
      <c r="F34" s="117">
        <v>61.6</v>
      </c>
      <c r="G34" s="49">
        <v>19</v>
      </c>
      <c r="H34" s="118">
        <v>6.9</v>
      </c>
      <c r="I34" s="223">
        <v>69</v>
      </c>
      <c r="J34" s="224">
        <v>25</v>
      </c>
      <c r="K34" s="90" t="s">
        <v>284</v>
      </c>
      <c r="L34" s="90" t="s">
        <v>284</v>
      </c>
      <c r="M34" s="89">
        <v>2</v>
      </c>
      <c r="N34" s="105" t="s">
        <v>292</v>
      </c>
      <c r="O34" s="89">
        <v>15</v>
      </c>
      <c r="P34" s="104">
        <v>5.4</v>
      </c>
      <c r="Q34" s="232">
        <v>17</v>
      </c>
      <c r="R34" s="233">
        <v>6.2</v>
      </c>
      <c r="S34" s="123">
        <v>4</v>
      </c>
      <c r="T34" s="104" t="s">
        <v>292</v>
      </c>
    </row>
    <row r="35" spans="2:20" ht="15" customHeight="1">
      <c r="B35" s="88" t="s">
        <v>354</v>
      </c>
      <c r="C35" s="49">
        <v>333</v>
      </c>
      <c r="D35" s="117">
        <v>29.8</v>
      </c>
      <c r="E35" s="49">
        <v>1025</v>
      </c>
      <c r="F35" s="117">
        <v>91.6</v>
      </c>
      <c r="G35" s="49">
        <v>47</v>
      </c>
      <c r="H35" s="118">
        <v>4.2</v>
      </c>
      <c r="I35" s="223">
        <v>326</v>
      </c>
      <c r="J35" s="224">
        <v>29.1</v>
      </c>
      <c r="K35" s="90">
        <v>4</v>
      </c>
      <c r="L35" s="118" t="s">
        <v>292</v>
      </c>
      <c r="M35" s="89">
        <v>18</v>
      </c>
      <c r="N35" s="105">
        <v>1.6</v>
      </c>
      <c r="O35" s="89">
        <v>93</v>
      </c>
      <c r="P35" s="104">
        <v>8.3000000000000007</v>
      </c>
      <c r="Q35" s="232">
        <v>95</v>
      </c>
      <c r="R35" s="233">
        <v>8.5</v>
      </c>
      <c r="S35" s="123">
        <v>13</v>
      </c>
      <c r="T35" s="104">
        <v>1.2</v>
      </c>
    </row>
    <row r="36" spans="2:20" ht="15" customHeight="1">
      <c r="B36" s="88" t="s">
        <v>355</v>
      </c>
      <c r="C36" s="49">
        <v>71</v>
      </c>
      <c r="D36" s="117">
        <v>23.9</v>
      </c>
      <c r="E36" s="49">
        <v>179</v>
      </c>
      <c r="F36" s="117">
        <v>60.3</v>
      </c>
      <c r="G36" s="49">
        <v>11</v>
      </c>
      <c r="H36" s="118">
        <v>3.7</v>
      </c>
      <c r="I36" s="223">
        <v>82</v>
      </c>
      <c r="J36" s="224">
        <v>27.6</v>
      </c>
      <c r="K36" s="90" t="s">
        <v>284</v>
      </c>
      <c r="L36" s="90" t="s">
        <v>284</v>
      </c>
      <c r="M36" s="89">
        <v>2</v>
      </c>
      <c r="N36" s="105" t="s">
        <v>292</v>
      </c>
      <c r="O36" s="89">
        <v>14</v>
      </c>
      <c r="P36" s="104">
        <v>4.7</v>
      </c>
      <c r="Q36" s="232">
        <v>22</v>
      </c>
      <c r="R36" s="233">
        <v>7.4</v>
      </c>
      <c r="S36" s="123">
        <v>5</v>
      </c>
      <c r="T36" s="104" t="s">
        <v>292</v>
      </c>
    </row>
    <row r="37" spans="2:20" ht="15" customHeight="1">
      <c r="B37" s="88" t="s">
        <v>356</v>
      </c>
      <c r="C37" s="49">
        <v>1641</v>
      </c>
      <c r="D37" s="117">
        <v>32.700000000000003</v>
      </c>
      <c r="E37" s="49">
        <v>4236</v>
      </c>
      <c r="F37" s="117">
        <v>84.4</v>
      </c>
      <c r="G37" s="49">
        <v>545</v>
      </c>
      <c r="H37" s="118">
        <v>10.9</v>
      </c>
      <c r="I37" s="223">
        <v>1236</v>
      </c>
      <c r="J37" s="224">
        <v>24.6</v>
      </c>
      <c r="K37" s="90">
        <v>18</v>
      </c>
      <c r="L37" s="117">
        <v>0.4</v>
      </c>
      <c r="M37" s="89">
        <v>23</v>
      </c>
      <c r="N37" s="105">
        <v>0.5</v>
      </c>
      <c r="O37" s="89">
        <v>405</v>
      </c>
      <c r="P37" s="104">
        <v>8.1</v>
      </c>
      <c r="Q37" s="232">
        <v>757</v>
      </c>
      <c r="R37" s="233">
        <v>15.1</v>
      </c>
      <c r="S37" s="123">
        <v>148</v>
      </c>
      <c r="T37" s="104">
        <v>2.9</v>
      </c>
    </row>
    <row r="38" spans="2:20" ht="12.75" customHeight="1">
      <c r="B38" s="88"/>
      <c r="C38" s="49"/>
      <c r="D38" s="117"/>
      <c r="E38" s="49"/>
      <c r="F38" s="117"/>
      <c r="G38" s="49"/>
      <c r="H38" s="118"/>
      <c r="I38" s="223"/>
      <c r="J38" s="224"/>
      <c r="K38" s="90"/>
      <c r="L38" s="117"/>
      <c r="M38" s="89"/>
      <c r="N38" s="105"/>
      <c r="O38" s="89"/>
      <c r="P38" s="104"/>
      <c r="Q38" s="232"/>
      <c r="R38" s="233"/>
      <c r="S38" s="123"/>
      <c r="T38" s="104"/>
    </row>
    <row r="39" spans="2:20" ht="15" customHeight="1">
      <c r="B39" s="88" t="s">
        <v>357</v>
      </c>
      <c r="C39" s="49">
        <v>77</v>
      </c>
      <c r="D39" s="117">
        <v>30.9</v>
      </c>
      <c r="E39" s="49">
        <v>172</v>
      </c>
      <c r="F39" s="117">
        <v>69.099999999999994</v>
      </c>
      <c r="G39" s="49">
        <v>18</v>
      </c>
      <c r="H39" s="118">
        <v>7.2</v>
      </c>
      <c r="I39" s="223">
        <v>67</v>
      </c>
      <c r="J39" s="224">
        <v>26.9</v>
      </c>
      <c r="K39" s="90">
        <v>2</v>
      </c>
      <c r="L39" s="105" t="s">
        <v>292</v>
      </c>
      <c r="M39" s="89">
        <v>7</v>
      </c>
      <c r="N39" s="105">
        <v>2.8</v>
      </c>
      <c r="O39" s="89">
        <v>47</v>
      </c>
      <c r="P39" s="104">
        <v>18.899999999999999</v>
      </c>
      <c r="Q39" s="232">
        <v>67</v>
      </c>
      <c r="R39" s="233">
        <v>26.9</v>
      </c>
      <c r="S39" s="123">
        <v>3</v>
      </c>
      <c r="T39" s="104" t="s">
        <v>292</v>
      </c>
    </row>
    <row r="40" spans="2:20" ht="15" customHeight="1">
      <c r="B40" s="88" t="s">
        <v>358</v>
      </c>
      <c r="C40" s="49">
        <v>43</v>
      </c>
      <c r="D40" s="117">
        <v>36.4</v>
      </c>
      <c r="E40" s="49">
        <v>91</v>
      </c>
      <c r="F40" s="117">
        <v>77.099999999999994</v>
      </c>
      <c r="G40" s="49">
        <v>10</v>
      </c>
      <c r="H40" s="118">
        <v>8.5</v>
      </c>
      <c r="I40" s="223">
        <v>47</v>
      </c>
      <c r="J40" s="224">
        <v>39.799999999999997</v>
      </c>
      <c r="K40" s="90">
        <v>1</v>
      </c>
      <c r="L40" s="118" t="s">
        <v>292</v>
      </c>
      <c r="M40" s="90" t="s">
        <v>284</v>
      </c>
      <c r="N40" s="90" t="s">
        <v>284</v>
      </c>
      <c r="O40" s="89">
        <v>14</v>
      </c>
      <c r="P40" s="104">
        <v>11.9</v>
      </c>
      <c r="Q40" s="232">
        <v>7</v>
      </c>
      <c r="R40" s="233">
        <v>5.9</v>
      </c>
      <c r="S40" s="90" t="s">
        <v>284</v>
      </c>
      <c r="T40" s="90" t="s">
        <v>284</v>
      </c>
    </row>
    <row r="41" spans="2:20" ht="15" customHeight="1">
      <c r="B41" s="88" t="s">
        <v>359</v>
      </c>
      <c r="C41" s="49">
        <v>253</v>
      </c>
      <c r="D41" s="117">
        <v>26.4</v>
      </c>
      <c r="E41" s="49">
        <v>676</v>
      </c>
      <c r="F41" s="117">
        <v>70.400000000000006</v>
      </c>
      <c r="G41" s="49">
        <v>118</v>
      </c>
      <c r="H41" s="118">
        <v>12.3</v>
      </c>
      <c r="I41" s="223">
        <v>236</v>
      </c>
      <c r="J41" s="224">
        <v>24.6</v>
      </c>
      <c r="K41" s="90">
        <v>2</v>
      </c>
      <c r="L41" s="118" t="s">
        <v>292</v>
      </c>
      <c r="M41" s="89">
        <v>21</v>
      </c>
      <c r="N41" s="105">
        <v>2.2000000000000002</v>
      </c>
      <c r="O41" s="89">
        <v>22</v>
      </c>
      <c r="P41" s="104">
        <v>2.2999999999999998</v>
      </c>
      <c r="Q41" s="232">
        <v>81</v>
      </c>
      <c r="R41" s="233">
        <v>8.4</v>
      </c>
      <c r="S41" s="123">
        <v>11</v>
      </c>
      <c r="T41" s="104">
        <v>1.1000000000000001</v>
      </c>
    </row>
    <row r="42" spans="2:20" ht="15" customHeight="1">
      <c r="B42" s="88" t="s">
        <v>360</v>
      </c>
      <c r="C42" s="49">
        <v>121</v>
      </c>
      <c r="D42" s="117">
        <v>30.2</v>
      </c>
      <c r="E42" s="49">
        <v>324</v>
      </c>
      <c r="F42" s="117">
        <v>80.8</v>
      </c>
      <c r="G42" s="49">
        <v>21</v>
      </c>
      <c r="H42" s="118">
        <v>5.2</v>
      </c>
      <c r="I42" s="223">
        <v>139</v>
      </c>
      <c r="J42" s="224">
        <v>34.700000000000003</v>
      </c>
      <c r="K42" s="90">
        <v>1</v>
      </c>
      <c r="L42" s="118" t="s">
        <v>292</v>
      </c>
      <c r="M42" s="89">
        <v>8</v>
      </c>
      <c r="N42" s="105">
        <v>2</v>
      </c>
      <c r="O42" s="89">
        <v>24</v>
      </c>
      <c r="P42" s="104">
        <v>6</v>
      </c>
      <c r="Q42" s="232">
        <v>60</v>
      </c>
      <c r="R42" s="233">
        <v>15</v>
      </c>
      <c r="S42" s="123">
        <v>13</v>
      </c>
      <c r="T42" s="104">
        <v>3.2</v>
      </c>
    </row>
    <row r="43" spans="2:20" ht="15" customHeight="1">
      <c r="B43" s="88" t="s">
        <v>361</v>
      </c>
      <c r="C43" s="49">
        <v>117</v>
      </c>
      <c r="D43" s="117">
        <v>20.2</v>
      </c>
      <c r="E43" s="49">
        <v>441</v>
      </c>
      <c r="F43" s="117">
        <v>76</v>
      </c>
      <c r="G43" s="49">
        <v>43</v>
      </c>
      <c r="H43" s="118">
        <v>7.4</v>
      </c>
      <c r="I43" s="223">
        <v>215</v>
      </c>
      <c r="J43" s="224">
        <v>37.1</v>
      </c>
      <c r="K43" s="90">
        <v>1</v>
      </c>
      <c r="L43" s="118" t="s">
        <v>292</v>
      </c>
      <c r="M43" s="89">
        <v>22</v>
      </c>
      <c r="N43" s="105">
        <v>3.8</v>
      </c>
      <c r="O43" s="89">
        <v>50</v>
      </c>
      <c r="P43" s="104">
        <v>8.6</v>
      </c>
      <c r="Q43" s="232">
        <v>120</v>
      </c>
      <c r="R43" s="233">
        <v>20.7</v>
      </c>
      <c r="S43" s="123">
        <v>10</v>
      </c>
      <c r="T43" s="104">
        <v>1.7</v>
      </c>
    </row>
    <row r="44" spans="2:20" ht="12.75" customHeight="1">
      <c r="B44" s="88"/>
      <c r="C44" s="49"/>
      <c r="D44" s="117"/>
      <c r="E44" s="49"/>
      <c r="F44" s="117"/>
      <c r="G44" s="49"/>
      <c r="H44" s="118"/>
      <c r="I44" s="223"/>
      <c r="J44" s="224"/>
      <c r="K44" s="90"/>
      <c r="L44" s="117"/>
      <c r="M44" s="89"/>
      <c r="N44" s="105"/>
      <c r="O44" s="89"/>
      <c r="P44" s="104"/>
      <c r="Q44" s="232"/>
      <c r="R44" s="233"/>
      <c r="S44" s="123"/>
      <c r="T44" s="104"/>
    </row>
    <row r="45" spans="2:20" ht="15" customHeight="1">
      <c r="B45" s="88" t="s">
        <v>362</v>
      </c>
      <c r="C45" s="49">
        <v>112</v>
      </c>
      <c r="D45" s="117">
        <v>30.4</v>
      </c>
      <c r="E45" s="49">
        <v>330</v>
      </c>
      <c r="F45" s="117">
        <v>89.4</v>
      </c>
      <c r="G45" s="49">
        <v>62</v>
      </c>
      <c r="H45" s="118">
        <v>16.8</v>
      </c>
      <c r="I45" s="223">
        <v>76</v>
      </c>
      <c r="J45" s="224">
        <v>20.6</v>
      </c>
      <c r="K45" s="90" t="s">
        <v>284</v>
      </c>
      <c r="L45" s="90" t="s">
        <v>284</v>
      </c>
      <c r="M45" s="89">
        <v>4</v>
      </c>
      <c r="N45" s="105" t="s">
        <v>292</v>
      </c>
      <c r="O45" s="89">
        <v>22</v>
      </c>
      <c r="P45" s="104">
        <v>6</v>
      </c>
      <c r="Q45" s="232">
        <v>10</v>
      </c>
      <c r="R45" s="233">
        <v>2.7</v>
      </c>
      <c r="S45" s="123">
        <v>4</v>
      </c>
      <c r="T45" s="104" t="s">
        <v>292</v>
      </c>
    </row>
    <row r="46" spans="2:20" ht="15" customHeight="1">
      <c r="B46" s="88" t="s">
        <v>363</v>
      </c>
      <c r="C46" s="49">
        <v>110</v>
      </c>
      <c r="D46" s="117">
        <v>36.299999999999997</v>
      </c>
      <c r="E46" s="49">
        <v>197</v>
      </c>
      <c r="F46" s="117">
        <v>65</v>
      </c>
      <c r="G46" s="49">
        <v>14</v>
      </c>
      <c r="H46" s="118">
        <v>4.5999999999999996</v>
      </c>
      <c r="I46" s="223">
        <v>69</v>
      </c>
      <c r="J46" s="224">
        <v>22.8</v>
      </c>
      <c r="K46" s="90" t="s">
        <v>284</v>
      </c>
      <c r="L46" s="90" t="s">
        <v>284</v>
      </c>
      <c r="M46" s="89">
        <v>6</v>
      </c>
      <c r="N46" s="105">
        <v>2</v>
      </c>
      <c r="O46" s="89">
        <v>12</v>
      </c>
      <c r="P46" s="104">
        <v>4</v>
      </c>
      <c r="Q46" s="232">
        <v>32</v>
      </c>
      <c r="R46" s="233">
        <v>10.6</v>
      </c>
      <c r="S46" s="123">
        <v>5</v>
      </c>
      <c r="T46" s="104" t="s">
        <v>292</v>
      </c>
    </row>
    <row r="47" spans="2:20" ht="15" customHeight="1">
      <c r="B47" s="88" t="s">
        <v>364</v>
      </c>
      <c r="C47" s="49">
        <v>883</v>
      </c>
      <c r="D47" s="117">
        <v>27</v>
      </c>
      <c r="E47" s="49">
        <v>3019</v>
      </c>
      <c r="F47" s="117">
        <v>92.3</v>
      </c>
      <c r="G47" s="49">
        <v>113</v>
      </c>
      <c r="H47" s="118">
        <v>3.5</v>
      </c>
      <c r="I47" s="223">
        <v>886</v>
      </c>
      <c r="J47" s="224">
        <v>27.1</v>
      </c>
      <c r="K47" s="90">
        <v>9</v>
      </c>
      <c r="L47" s="117">
        <v>0.3</v>
      </c>
      <c r="M47" s="89">
        <v>31</v>
      </c>
      <c r="N47" s="105">
        <v>0.9</v>
      </c>
      <c r="O47" s="89">
        <v>303</v>
      </c>
      <c r="P47" s="104">
        <v>9.3000000000000007</v>
      </c>
      <c r="Q47" s="232">
        <v>404</v>
      </c>
      <c r="R47" s="233">
        <v>12.3</v>
      </c>
      <c r="S47" s="123">
        <v>69</v>
      </c>
      <c r="T47" s="104">
        <v>2.1</v>
      </c>
    </row>
    <row r="48" spans="2:20" ht="15" customHeight="1">
      <c r="B48" s="88" t="s">
        <v>365</v>
      </c>
      <c r="C48" s="49">
        <v>196</v>
      </c>
      <c r="D48" s="117">
        <v>26.2</v>
      </c>
      <c r="E48" s="49">
        <v>649</v>
      </c>
      <c r="F48" s="117">
        <v>86.9</v>
      </c>
      <c r="G48" s="49">
        <v>47</v>
      </c>
      <c r="H48" s="118">
        <v>6.3</v>
      </c>
      <c r="I48" s="223">
        <v>180</v>
      </c>
      <c r="J48" s="224">
        <v>24.1</v>
      </c>
      <c r="K48" s="90" t="s">
        <v>284</v>
      </c>
      <c r="L48" s="90" t="s">
        <v>284</v>
      </c>
      <c r="M48" s="89">
        <v>4</v>
      </c>
      <c r="N48" s="105" t="s">
        <v>292</v>
      </c>
      <c r="O48" s="89">
        <v>60</v>
      </c>
      <c r="P48" s="104">
        <v>8</v>
      </c>
      <c r="Q48" s="232">
        <v>82</v>
      </c>
      <c r="R48" s="233">
        <v>11</v>
      </c>
      <c r="S48" s="123">
        <v>12</v>
      </c>
      <c r="T48" s="104">
        <v>1.6</v>
      </c>
    </row>
    <row r="49" spans="2:20" ht="15" customHeight="1">
      <c r="B49" s="88" t="s">
        <v>366</v>
      </c>
      <c r="C49" s="49">
        <v>54</v>
      </c>
      <c r="D49" s="117">
        <v>22.9</v>
      </c>
      <c r="E49" s="49">
        <v>163</v>
      </c>
      <c r="F49" s="117">
        <v>69.099999999999994</v>
      </c>
      <c r="G49" s="49">
        <v>14</v>
      </c>
      <c r="H49" s="118">
        <v>5.9</v>
      </c>
      <c r="I49" s="223">
        <v>96</v>
      </c>
      <c r="J49" s="224">
        <v>40.700000000000003</v>
      </c>
      <c r="K49" s="90">
        <v>1</v>
      </c>
      <c r="L49" s="118" t="s">
        <v>292</v>
      </c>
      <c r="M49" s="89">
        <v>3</v>
      </c>
      <c r="N49" s="105" t="s">
        <v>292</v>
      </c>
      <c r="O49" s="89">
        <v>13</v>
      </c>
      <c r="P49" s="104">
        <v>5.5</v>
      </c>
      <c r="Q49" s="232">
        <v>32</v>
      </c>
      <c r="R49" s="233">
        <v>13.6</v>
      </c>
      <c r="S49" s="232">
        <v>5</v>
      </c>
      <c r="T49" s="104" t="s">
        <v>292</v>
      </c>
    </row>
    <row r="50" spans="2:20" ht="12.75" customHeight="1">
      <c r="B50" s="88"/>
      <c r="C50" s="49"/>
      <c r="D50" s="117"/>
      <c r="E50" s="49"/>
      <c r="F50" s="117"/>
      <c r="G50" s="49"/>
      <c r="H50" s="118"/>
      <c r="I50" s="223"/>
      <c r="J50" s="224"/>
      <c r="K50" s="90"/>
      <c r="L50" s="117"/>
      <c r="M50" s="89"/>
      <c r="N50" s="105"/>
      <c r="O50" s="89"/>
      <c r="P50" s="104"/>
      <c r="Q50" s="232"/>
      <c r="R50" s="233"/>
      <c r="S50" s="123"/>
      <c r="T50" s="104"/>
    </row>
    <row r="51" spans="2:20" ht="15" customHeight="1">
      <c r="B51" s="88" t="s">
        <v>367</v>
      </c>
      <c r="C51" s="49">
        <v>18</v>
      </c>
      <c r="D51" s="117">
        <v>20.5</v>
      </c>
      <c r="E51" s="49">
        <v>54</v>
      </c>
      <c r="F51" s="117">
        <v>61.4</v>
      </c>
      <c r="G51" s="90">
        <v>9</v>
      </c>
      <c r="H51" s="118">
        <v>10.199999999999999</v>
      </c>
      <c r="I51" s="223">
        <v>29</v>
      </c>
      <c r="J51" s="224">
        <v>33</v>
      </c>
      <c r="K51" s="90" t="s">
        <v>284</v>
      </c>
      <c r="L51" s="90" t="s">
        <v>284</v>
      </c>
      <c r="M51" s="89">
        <v>2</v>
      </c>
      <c r="N51" s="105" t="s">
        <v>292</v>
      </c>
      <c r="O51" s="89">
        <v>5</v>
      </c>
      <c r="P51" s="105" t="s">
        <v>292</v>
      </c>
      <c r="Q51" s="232">
        <v>17</v>
      </c>
      <c r="R51" s="233">
        <v>19.3</v>
      </c>
      <c r="S51" s="89" t="s">
        <v>284</v>
      </c>
      <c r="T51" s="89" t="s">
        <v>284</v>
      </c>
    </row>
    <row r="52" spans="2:20" ht="15" customHeight="1">
      <c r="B52" s="88" t="s">
        <v>368</v>
      </c>
      <c r="C52" s="49">
        <v>195</v>
      </c>
      <c r="D52" s="117">
        <v>29.6</v>
      </c>
      <c r="E52" s="49">
        <v>525</v>
      </c>
      <c r="F52" s="117">
        <v>79.7</v>
      </c>
      <c r="G52" s="49">
        <v>55</v>
      </c>
      <c r="H52" s="118">
        <v>8.3000000000000007</v>
      </c>
      <c r="I52" s="223">
        <v>171</v>
      </c>
      <c r="J52" s="224">
        <v>25.9</v>
      </c>
      <c r="K52" s="90">
        <v>8</v>
      </c>
      <c r="L52" s="118">
        <v>1.2</v>
      </c>
      <c r="M52" s="89">
        <v>12</v>
      </c>
      <c r="N52" s="105">
        <v>1.8</v>
      </c>
      <c r="O52" s="89">
        <v>78</v>
      </c>
      <c r="P52" s="104">
        <v>11.8</v>
      </c>
      <c r="Q52" s="232">
        <v>75</v>
      </c>
      <c r="R52" s="233">
        <v>11.4</v>
      </c>
      <c r="S52" s="123">
        <v>8</v>
      </c>
      <c r="T52" s="104">
        <v>1.2</v>
      </c>
    </row>
    <row r="53" spans="2:20" ht="15" customHeight="1">
      <c r="B53" s="88" t="s">
        <v>369</v>
      </c>
      <c r="C53" s="49">
        <v>438</v>
      </c>
      <c r="D53" s="117">
        <v>25.4</v>
      </c>
      <c r="E53" s="49">
        <v>1229</v>
      </c>
      <c r="F53" s="117">
        <v>71.2</v>
      </c>
      <c r="G53" s="49">
        <v>138</v>
      </c>
      <c r="H53" s="118">
        <v>8</v>
      </c>
      <c r="I53" s="223">
        <v>528</v>
      </c>
      <c r="J53" s="224">
        <v>30.6</v>
      </c>
      <c r="K53" s="90">
        <v>6</v>
      </c>
      <c r="L53" s="118">
        <v>0.3</v>
      </c>
      <c r="M53" s="89">
        <v>6</v>
      </c>
      <c r="N53" s="105">
        <v>0.3</v>
      </c>
      <c r="O53" s="89">
        <v>103</v>
      </c>
      <c r="P53" s="104">
        <v>6</v>
      </c>
      <c r="Q53" s="232">
        <v>273</v>
      </c>
      <c r="R53" s="233">
        <v>15.8</v>
      </c>
      <c r="S53" s="123">
        <v>41</v>
      </c>
      <c r="T53" s="104">
        <v>2.4</v>
      </c>
    </row>
    <row r="54" spans="2:20" ht="15" customHeight="1">
      <c r="B54" s="88" t="s">
        <v>370</v>
      </c>
      <c r="C54" s="49">
        <v>1273</v>
      </c>
      <c r="D54" s="117">
        <v>40.1</v>
      </c>
      <c r="E54" s="49">
        <v>2886</v>
      </c>
      <c r="F54" s="117">
        <v>90.9</v>
      </c>
      <c r="G54" s="49">
        <v>589</v>
      </c>
      <c r="H54" s="118">
        <v>18.5</v>
      </c>
      <c r="I54" s="223">
        <v>838</v>
      </c>
      <c r="J54" s="224">
        <v>26.4</v>
      </c>
      <c r="K54" s="90">
        <v>274</v>
      </c>
      <c r="L54" s="117">
        <v>8.6</v>
      </c>
      <c r="M54" s="89">
        <v>28</v>
      </c>
      <c r="N54" s="105">
        <v>0.9</v>
      </c>
      <c r="O54" s="89">
        <v>464</v>
      </c>
      <c r="P54" s="104">
        <v>14.6</v>
      </c>
      <c r="Q54" s="232">
        <v>369</v>
      </c>
      <c r="R54" s="233">
        <v>11.6</v>
      </c>
      <c r="S54" s="123">
        <v>60</v>
      </c>
      <c r="T54" s="104">
        <v>1.9</v>
      </c>
    </row>
    <row r="55" spans="2:20" ht="15" customHeight="1">
      <c r="B55" s="88" t="s">
        <v>371</v>
      </c>
      <c r="C55" s="49">
        <v>34</v>
      </c>
      <c r="D55" s="117">
        <v>20.7</v>
      </c>
      <c r="E55" s="49">
        <v>116</v>
      </c>
      <c r="F55" s="117">
        <v>70.7</v>
      </c>
      <c r="G55" s="49">
        <v>14</v>
      </c>
      <c r="H55" s="118">
        <v>8.5</v>
      </c>
      <c r="I55" s="223">
        <v>52</v>
      </c>
      <c r="J55" s="224">
        <v>31.7</v>
      </c>
      <c r="K55" s="90" t="s">
        <v>284</v>
      </c>
      <c r="L55" s="90" t="s">
        <v>284</v>
      </c>
      <c r="M55" s="89">
        <v>4</v>
      </c>
      <c r="N55" s="105" t="s">
        <v>292</v>
      </c>
      <c r="O55" s="89">
        <v>7</v>
      </c>
      <c r="P55" s="104">
        <v>4.3</v>
      </c>
      <c r="Q55" s="232">
        <v>21</v>
      </c>
      <c r="R55" s="233">
        <v>12.8</v>
      </c>
      <c r="S55" s="123">
        <v>6</v>
      </c>
      <c r="T55" s="104">
        <v>3.7</v>
      </c>
    </row>
    <row r="56" spans="2:20">
      <c r="B56" s="11"/>
      <c r="C56" s="49"/>
      <c r="D56" s="117"/>
      <c r="E56" s="49"/>
      <c r="F56" s="117"/>
      <c r="G56" s="49"/>
      <c r="H56" s="118"/>
      <c r="I56" s="223"/>
      <c r="J56" s="224"/>
      <c r="K56" s="49"/>
      <c r="L56" s="102"/>
      <c r="M56" s="11"/>
      <c r="N56" s="101"/>
      <c r="O56" s="11"/>
      <c r="P56" s="11"/>
      <c r="Q56" s="234"/>
      <c r="R56" s="233"/>
      <c r="S56" s="11"/>
      <c r="T56" s="11"/>
    </row>
    <row r="57" spans="2:20">
      <c r="B57" s="119" t="s">
        <v>372</v>
      </c>
      <c r="C57" s="89">
        <v>2371</v>
      </c>
      <c r="D57" s="117">
        <v>26.8</v>
      </c>
      <c r="E57" s="89">
        <v>7785</v>
      </c>
      <c r="F57" s="117">
        <v>88.1</v>
      </c>
      <c r="G57" s="89">
        <v>689</v>
      </c>
      <c r="H57" s="118">
        <v>7.8</v>
      </c>
      <c r="I57" s="225">
        <v>1127</v>
      </c>
      <c r="J57" s="224">
        <v>12.8</v>
      </c>
      <c r="K57" s="89">
        <v>39</v>
      </c>
      <c r="L57" s="120">
        <v>0.4</v>
      </c>
      <c r="M57" s="89">
        <v>44</v>
      </c>
      <c r="N57" s="105">
        <v>0.5</v>
      </c>
      <c r="O57" s="89">
        <v>627</v>
      </c>
      <c r="P57" s="104">
        <v>7.1</v>
      </c>
      <c r="Q57" s="225">
        <v>1222</v>
      </c>
      <c r="R57" s="233">
        <v>13.8</v>
      </c>
      <c r="S57" s="89">
        <v>156</v>
      </c>
      <c r="T57" s="104">
        <v>1.8</v>
      </c>
    </row>
    <row r="58" spans="2:20">
      <c r="B58" s="119" t="s">
        <v>373</v>
      </c>
      <c r="C58" s="90" t="s">
        <v>284</v>
      </c>
      <c r="D58" s="90" t="s">
        <v>284</v>
      </c>
      <c r="E58" s="89">
        <v>14</v>
      </c>
      <c r="F58" s="117">
        <v>87.5</v>
      </c>
      <c r="G58" s="89">
        <v>6</v>
      </c>
      <c r="H58" s="118">
        <v>37.5</v>
      </c>
      <c r="I58" s="225">
        <v>5</v>
      </c>
      <c r="J58" s="118" t="s">
        <v>292</v>
      </c>
      <c r="K58" s="90" t="s">
        <v>284</v>
      </c>
      <c r="L58" s="90" t="s">
        <v>284</v>
      </c>
      <c r="M58" s="89" t="s">
        <v>284</v>
      </c>
      <c r="N58" s="89" t="s">
        <v>284</v>
      </c>
      <c r="O58" s="89" t="s">
        <v>284</v>
      </c>
      <c r="P58" s="89" t="s">
        <v>284</v>
      </c>
      <c r="Q58" s="225">
        <v>1</v>
      </c>
      <c r="R58" s="233" t="s">
        <v>292</v>
      </c>
      <c r="S58" s="89" t="s">
        <v>284</v>
      </c>
      <c r="T58" s="89" t="s">
        <v>284</v>
      </c>
    </row>
    <row r="59" spans="2:20">
      <c r="B59" s="119" t="s">
        <v>374</v>
      </c>
      <c r="C59" s="89">
        <v>22</v>
      </c>
      <c r="D59" s="117">
        <v>22.4</v>
      </c>
      <c r="E59" s="89">
        <v>77</v>
      </c>
      <c r="F59" s="117">
        <v>78.599999999999994</v>
      </c>
      <c r="G59" s="89">
        <v>3</v>
      </c>
      <c r="H59" s="118" t="s">
        <v>292</v>
      </c>
      <c r="I59" s="225">
        <v>38</v>
      </c>
      <c r="J59" s="224">
        <v>38.799999999999997</v>
      </c>
      <c r="K59" s="90" t="s">
        <v>284</v>
      </c>
      <c r="L59" s="90" t="s">
        <v>284</v>
      </c>
      <c r="M59" s="89">
        <v>1</v>
      </c>
      <c r="N59" s="105" t="s">
        <v>292</v>
      </c>
      <c r="O59" s="89">
        <v>13</v>
      </c>
      <c r="P59" s="104">
        <v>13.3</v>
      </c>
      <c r="Q59" s="225">
        <v>16</v>
      </c>
      <c r="R59" s="233">
        <v>16.3</v>
      </c>
      <c r="S59" s="89">
        <v>1</v>
      </c>
      <c r="T59" s="104" t="s">
        <v>292</v>
      </c>
    </row>
    <row r="60" spans="2:20">
      <c r="B60" s="119" t="s">
        <v>375</v>
      </c>
      <c r="C60" s="89">
        <v>199</v>
      </c>
      <c r="D60" s="117">
        <v>24.8</v>
      </c>
      <c r="E60" s="89">
        <v>630</v>
      </c>
      <c r="F60" s="117">
        <v>78.599999999999994</v>
      </c>
      <c r="G60" s="89">
        <v>67</v>
      </c>
      <c r="H60" s="118">
        <v>8.4</v>
      </c>
      <c r="I60" s="225">
        <v>229</v>
      </c>
      <c r="J60" s="224">
        <v>28.6</v>
      </c>
      <c r="K60" s="89">
        <v>1</v>
      </c>
      <c r="L60" s="89" t="s">
        <v>292</v>
      </c>
      <c r="M60" s="89">
        <v>24</v>
      </c>
      <c r="N60" s="105">
        <v>3</v>
      </c>
      <c r="O60" s="89">
        <v>64</v>
      </c>
      <c r="P60" s="104">
        <v>8</v>
      </c>
      <c r="Q60" s="225">
        <v>89</v>
      </c>
      <c r="R60" s="233">
        <v>11.1</v>
      </c>
      <c r="S60" s="89">
        <v>13</v>
      </c>
      <c r="T60" s="104">
        <v>1.6</v>
      </c>
    </row>
    <row r="61" spans="2:20">
      <c r="B61" s="119" t="s">
        <v>376</v>
      </c>
      <c r="C61" s="89">
        <v>39</v>
      </c>
      <c r="D61" s="117">
        <v>21.9</v>
      </c>
      <c r="E61" s="89">
        <v>122</v>
      </c>
      <c r="F61" s="117">
        <v>68.5</v>
      </c>
      <c r="G61" s="89">
        <v>24</v>
      </c>
      <c r="H61" s="118">
        <v>13.5</v>
      </c>
      <c r="I61" s="225">
        <v>40</v>
      </c>
      <c r="J61" s="224">
        <v>22.5</v>
      </c>
      <c r="K61" s="89">
        <v>2</v>
      </c>
      <c r="L61" s="120" t="s">
        <v>292</v>
      </c>
      <c r="M61" s="89">
        <v>3</v>
      </c>
      <c r="N61" s="105" t="s">
        <v>292</v>
      </c>
      <c r="O61" s="89">
        <v>7</v>
      </c>
      <c r="P61" s="104">
        <v>3.9</v>
      </c>
      <c r="Q61" s="225">
        <v>15</v>
      </c>
      <c r="R61" s="233">
        <v>8.4</v>
      </c>
      <c r="S61" s="89">
        <v>3</v>
      </c>
      <c r="T61" s="104" t="s">
        <v>292</v>
      </c>
    </row>
    <row r="62" spans="2:20">
      <c r="B62" s="119"/>
      <c r="C62" s="89"/>
      <c r="D62" s="117"/>
      <c r="E62" s="89"/>
      <c r="F62" s="117"/>
      <c r="G62" s="89"/>
      <c r="H62" s="118"/>
      <c r="I62" s="225"/>
      <c r="J62" s="224"/>
      <c r="K62" s="89"/>
      <c r="L62" s="120"/>
      <c r="M62" s="89"/>
      <c r="N62" s="105"/>
      <c r="O62" s="89"/>
      <c r="P62" s="104"/>
      <c r="Q62" s="225"/>
      <c r="R62" s="233"/>
      <c r="S62" s="89"/>
      <c r="T62" s="104"/>
    </row>
    <row r="63" spans="2:20">
      <c r="B63" s="119" t="s">
        <v>377</v>
      </c>
      <c r="C63" s="89">
        <v>292</v>
      </c>
      <c r="D63" s="117">
        <v>26.9</v>
      </c>
      <c r="E63" s="89">
        <v>931</v>
      </c>
      <c r="F63" s="117">
        <v>85.9</v>
      </c>
      <c r="G63" s="89">
        <v>86</v>
      </c>
      <c r="H63" s="118">
        <v>7.9</v>
      </c>
      <c r="I63" s="225">
        <v>240</v>
      </c>
      <c r="J63" s="224">
        <v>22.1</v>
      </c>
      <c r="K63" s="89">
        <v>7</v>
      </c>
      <c r="L63" s="120">
        <v>0.6</v>
      </c>
      <c r="M63" s="89">
        <v>9</v>
      </c>
      <c r="N63" s="105">
        <v>0.8</v>
      </c>
      <c r="O63" s="89">
        <v>74</v>
      </c>
      <c r="P63" s="104">
        <v>6.8</v>
      </c>
      <c r="Q63" s="225">
        <v>104</v>
      </c>
      <c r="R63" s="233">
        <v>9.6</v>
      </c>
      <c r="S63" s="89">
        <v>29</v>
      </c>
      <c r="T63" s="104">
        <v>2.7</v>
      </c>
    </row>
    <row r="64" spans="2:20">
      <c r="B64" s="119" t="s">
        <v>378</v>
      </c>
      <c r="C64" s="89">
        <v>488</v>
      </c>
      <c r="D64" s="117">
        <v>29.1</v>
      </c>
      <c r="E64" s="89">
        <v>1497</v>
      </c>
      <c r="F64" s="117">
        <v>89.3</v>
      </c>
      <c r="G64" s="89">
        <v>150</v>
      </c>
      <c r="H64" s="118">
        <v>8.9</v>
      </c>
      <c r="I64" s="225">
        <v>368</v>
      </c>
      <c r="J64" s="224">
        <v>22</v>
      </c>
      <c r="K64" s="89">
        <v>21</v>
      </c>
      <c r="L64" s="120">
        <v>1.3</v>
      </c>
      <c r="M64" s="89">
        <v>9</v>
      </c>
      <c r="N64" s="105">
        <v>0.5</v>
      </c>
      <c r="O64" s="89">
        <v>127</v>
      </c>
      <c r="P64" s="104">
        <v>7.6</v>
      </c>
      <c r="Q64" s="225">
        <v>73</v>
      </c>
      <c r="R64" s="233">
        <v>4.4000000000000004</v>
      </c>
      <c r="S64" s="89">
        <v>14</v>
      </c>
      <c r="T64" s="104">
        <v>0.8</v>
      </c>
    </row>
    <row r="65" spans="2:20">
      <c r="B65" s="119" t="s">
        <v>379</v>
      </c>
      <c r="C65" s="89">
        <v>19</v>
      </c>
      <c r="D65" s="117">
        <v>44.2</v>
      </c>
      <c r="E65" s="89">
        <v>30</v>
      </c>
      <c r="F65" s="117">
        <v>69.8</v>
      </c>
      <c r="G65" s="89">
        <v>6</v>
      </c>
      <c r="H65" s="118">
        <v>14</v>
      </c>
      <c r="I65" s="225">
        <v>20</v>
      </c>
      <c r="J65" s="224">
        <v>46.5</v>
      </c>
      <c r="K65" s="90" t="s">
        <v>284</v>
      </c>
      <c r="L65" s="90" t="s">
        <v>284</v>
      </c>
      <c r="M65" s="89">
        <v>1</v>
      </c>
      <c r="N65" s="120" t="s">
        <v>292</v>
      </c>
      <c r="O65" s="89">
        <v>8</v>
      </c>
      <c r="P65" s="104">
        <v>18.600000000000001</v>
      </c>
      <c r="Q65" s="225">
        <v>6</v>
      </c>
      <c r="R65" s="233">
        <v>14</v>
      </c>
      <c r="S65" s="89">
        <v>2</v>
      </c>
      <c r="T65" s="104" t="s">
        <v>292</v>
      </c>
    </row>
    <row r="66" spans="2:20">
      <c r="B66" s="119" t="s">
        <v>380</v>
      </c>
      <c r="C66" s="89">
        <v>29</v>
      </c>
      <c r="D66" s="117">
        <v>30.2</v>
      </c>
      <c r="E66" s="89">
        <v>64</v>
      </c>
      <c r="F66" s="117">
        <v>66.7</v>
      </c>
      <c r="G66" s="89">
        <v>10</v>
      </c>
      <c r="H66" s="118">
        <v>10.4</v>
      </c>
      <c r="I66" s="225">
        <v>34</v>
      </c>
      <c r="J66" s="224">
        <v>35.4</v>
      </c>
      <c r="K66" s="90" t="s">
        <v>284</v>
      </c>
      <c r="L66" s="90" t="s">
        <v>284</v>
      </c>
      <c r="M66" s="89">
        <v>1</v>
      </c>
      <c r="N66" s="105" t="s">
        <v>292</v>
      </c>
      <c r="O66" s="89">
        <v>12</v>
      </c>
      <c r="P66" s="104">
        <v>12.5</v>
      </c>
      <c r="Q66" s="225">
        <v>12</v>
      </c>
      <c r="R66" s="233">
        <v>12.5</v>
      </c>
      <c r="S66" s="89">
        <v>2</v>
      </c>
      <c r="T66" s="104" t="s">
        <v>292</v>
      </c>
    </row>
    <row r="67" spans="2:20">
      <c r="B67" s="119" t="s">
        <v>381</v>
      </c>
      <c r="C67" s="89">
        <v>3095</v>
      </c>
      <c r="D67" s="117">
        <v>33</v>
      </c>
      <c r="E67" s="89">
        <v>8391</v>
      </c>
      <c r="F67" s="117">
        <v>89.4</v>
      </c>
      <c r="G67" s="89">
        <v>1013</v>
      </c>
      <c r="H67" s="118">
        <v>10.8</v>
      </c>
      <c r="I67" s="225">
        <v>1867</v>
      </c>
      <c r="J67" s="224">
        <v>19.899999999999999</v>
      </c>
      <c r="K67" s="89">
        <v>22</v>
      </c>
      <c r="L67" s="120">
        <v>0.2</v>
      </c>
      <c r="M67" s="89">
        <v>626</v>
      </c>
      <c r="N67" s="105">
        <v>6.7</v>
      </c>
      <c r="O67" s="89">
        <v>1355</v>
      </c>
      <c r="P67" s="104">
        <v>14.4</v>
      </c>
      <c r="Q67" s="225">
        <v>868</v>
      </c>
      <c r="R67" s="233">
        <v>9.1999999999999993</v>
      </c>
      <c r="S67" s="89">
        <v>103</v>
      </c>
      <c r="T67" s="104">
        <v>1.1000000000000001</v>
      </c>
    </row>
    <row r="68" spans="2:20">
      <c r="B68" s="119"/>
      <c r="C68" s="89"/>
      <c r="D68" s="117"/>
      <c r="E68" s="89"/>
      <c r="F68" s="117"/>
      <c r="G68" s="89"/>
      <c r="H68" s="118"/>
      <c r="I68" s="225"/>
      <c r="J68" s="224"/>
      <c r="K68" s="89"/>
      <c r="L68" s="120"/>
      <c r="M68" s="89"/>
      <c r="N68" s="105"/>
      <c r="O68" s="89"/>
      <c r="P68" s="104"/>
      <c r="Q68" s="225"/>
      <c r="R68" s="233"/>
      <c r="S68" s="89"/>
      <c r="T68" s="104"/>
    </row>
    <row r="69" spans="2:20">
      <c r="B69" s="119" t="s">
        <v>382</v>
      </c>
      <c r="C69" s="89">
        <v>36</v>
      </c>
      <c r="D69" s="117">
        <v>20.6</v>
      </c>
      <c r="E69" s="89">
        <v>121</v>
      </c>
      <c r="F69" s="117">
        <v>69.099999999999994</v>
      </c>
      <c r="G69" s="89">
        <v>15</v>
      </c>
      <c r="H69" s="118">
        <v>8.6</v>
      </c>
      <c r="I69" s="225">
        <v>59</v>
      </c>
      <c r="J69" s="224">
        <v>33.700000000000003</v>
      </c>
      <c r="K69" s="90" t="s">
        <v>284</v>
      </c>
      <c r="L69" s="90" t="s">
        <v>284</v>
      </c>
      <c r="M69" s="89">
        <v>3</v>
      </c>
      <c r="N69" s="105" t="s">
        <v>292</v>
      </c>
      <c r="O69" s="89">
        <v>6</v>
      </c>
      <c r="P69" s="104">
        <v>3.4</v>
      </c>
      <c r="Q69" s="225">
        <v>32</v>
      </c>
      <c r="R69" s="233">
        <v>18.3</v>
      </c>
      <c r="S69" s="89">
        <v>7</v>
      </c>
      <c r="T69" s="104">
        <v>4</v>
      </c>
    </row>
    <row r="70" spans="2:20">
      <c r="B70" s="119" t="s">
        <v>383</v>
      </c>
      <c r="C70" s="89">
        <v>167</v>
      </c>
      <c r="D70" s="117">
        <v>27.9</v>
      </c>
      <c r="E70" s="89">
        <v>503</v>
      </c>
      <c r="F70" s="117">
        <v>84</v>
      </c>
      <c r="G70" s="89">
        <v>98</v>
      </c>
      <c r="H70" s="118">
        <v>16.399999999999999</v>
      </c>
      <c r="I70" s="225">
        <v>162</v>
      </c>
      <c r="J70" s="224">
        <v>27</v>
      </c>
      <c r="K70" s="89">
        <v>1</v>
      </c>
      <c r="L70" s="120" t="s">
        <v>292</v>
      </c>
      <c r="M70" s="89">
        <v>12</v>
      </c>
      <c r="N70" s="105">
        <v>2</v>
      </c>
      <c r="O70" s="89">
        <v>27</v>
      </c>
      <c r="P70" s="104">
        <v>4.5</v>
      </c>
      <c r="Q70" s="225">
        <v>33</v>
      </c>
      <c r="R70" s="233">
        <v>5.5</v>
      </c>
      <c r="S70" s="89">
        <v>5</v>
      </c>
      <c r="T70" s="104" t="s">
        <v>292</v>
      </c>
    </row>
    <row r="71" spans="2:20">
      <c r="B71" s="119" t="s">
        <v>384</v>
      </c>
      <c r="C71" s="89">
        <v>80</v>
      </c>
      <c r="D71" s="117">
        <v>29.6</v>
      </c>
      <c r="E71" s="89">
        <v>177</v>
      </c>
      <c r="F71" s="117">
        <v>65.599999999999994</v>
      </c>
      <c r="G71" s="89">
        <v>10</v>
      </c>
      <c r="H71" s="118">
        <v>3.7</v>
      </c>
      <c r="I71" s="225">
        <v>78</v>
      </c>
      <c r="J71" s="224">
        <v>28.9</v>
      </c>
      <c r="K71" s="89">
        <v>1</v>
      </c>
      <c r="L71" s="120" t="s">
        <v>292</v>
      </c>
      <c r="M71" s="89">
        <v>3</v>
      </c>
      <c r="N71" s="105" t="s">
        <v>292</v>
      </c>
      <c r="O71" s="89">
        <v>17</v>
      </c>
      <c r="P71" s="104">
        <v>6.3</v>
      </c>
      <c r="Q71" s="225">
        <v>11</v>
      </c>
      <c r="R71" s="233">
        <v>4.0999999999999996</v>
      </c>
      <c r="S71" s="89">
        <v>2</v>
      </c>
      <c r="T71" s="104" t="s">
        <v>292</v>
      </c>
    </row>
    <row r="72" spans="2:20">
      <c r="B72" s="119" t="s">
        <v>385</v>
      </c>
      <c r="C72" s="89">
        <v>74</v>
      </c>
      <c r="D72" s="117">
        <v>17.899999999999999</v>
      </c>
      <c r="E72" s="89">
        <v>295</v>
      </c>
      <c r="F72" s="117">
        <v>71.400000000000006</v>
      </c>
      <c r="G72" s="89">
        <v>27</v>
      </c>
      <c r="H72" s="118">
        <v>6.5</v>
      </c>
      <c r="I72" s="225">
        <v>128</v>
      </c>
      <c r="J72" s="224">
        <v>31</v>
      </c>
      <c r="K72" s="90" t="s">
        <v>284</v>
      </c>
      <c r="L72" s="90" t="s">
        <v>284</v>
      </c>
      <c r="M72" s="89">
        <v>4</v>
      </c>
      <c r="N72" s="105" t="s">
        <v>292</v>
      </c>
      <c r="O72" s="89">
        <v>61</v>
      </c>
      <c r="P72" s="104">
        <v>14.8</v>
      </c>
      <c r="Q72" s="225">
        <v>94</v>
      </c>
      <c r="R72" s="233">
        <v>22.8</v>
      </c>
      <c r="S72" s="89">
        <v>7</v>
      </c>
      <c r="T72" s="104">
        <v>1.7</v>
      </c>
    </row>
    <row r="73" spans="2:20">
      <c r="B73" s="119" t="s">
        <v>386</v>
      </c>
      <c r="C73" s="89">
        <v>59</v>
      </c>
      <c r="D73" s="117">
        <v>26.8</v>
      </c>
      <c r="E73" s="89">
        <v>156</v>
      </c>
      <c r="F73" s="117">
        <v>70.900000000000006</v>
      </c>
      <c r="G73" s="89">
        <v>13</v>
      </c>
      <c r="H73" s="118">
        <v>5.9</v>
      </c>
      <c r="I73" s="225">
        <v>84</v>
      </c>
      <c r="J73" s="224">
        <v>38.200000000000003</v>
      </c>
      <c r="K73" s="90" t="s">
        <v>284</v>
      </c>
      <c r="L73" s="90" t="s">
        <v>284</v>
      </c>
      <c r="M73" s="89">
        <v>2</v>
      </c>
      <c r="N73" s="105" t="s">
        <v>292</v>
      </c>
      <c r="O73" s="89">
        <v>14</v>
      </c>
      <c r="P73" s="104">
        <v>6.4</v>
      </c>
      <c r="Q73" s="225">
        <v>19</v>
      </c>
      <c r="R73" s="233">
        <v>8.6</v>
      </c>
      <c r="S73" s="89">
        <v>4</v>
      </c>
      <c r="T73" s="104" t="s">
        <v>292</v>
      </c>
    </row>
    <row r="74" spans="2:20">
      <c r="B74" s="119"/>
      <c r="C74" s="89"/>
      <c r="D74" s="117"/>
      <c r="E74" s="89"/>
      <c r="F74" s="117"/>
      <c r="G74" s="89"/>
      <c r="H74" s="118"/>
      <c r="I74" s="225"/>
      <c r="J74" s="224"/>
      <c r="K74" s="89"/>
      <c r="L74" s="120"/>
      <c r="M74" s="89"/>
      <c r="N74" s="105"/>
      <c r="O74" s="89"/>
      <c r="P74" s="104"/>
      <c r="Q74" s="225"/>
      <c r="R74" s="233"/>
      <c r="S74" s="89"/>
      <c r="T74" s="104"/>
    </row>
    <row r="75" spans="2:20">
      <c r="B75" s="119" t="s">
        <v>387</v>
      </c>
      <c r="C75" s="89">
        <v>305</v>
      </c>
      <c r="D75" s="117">
        <v>36.5</v>
      </c>
      <c r="E75" s="89">
        <v>666</v>
      </c>
      <c r="F75" s="117">
        <v>79.8</v>
      </c>
      <c r="G75" s="89">
        <v>76</v>
      </c>
      <c r="H75" s="118">
        <v>9.1</v>
      </c>
      <c r="I75" s="225">
        <v>218</v>
      </c>
      <c r="J75" s="224">
        <v>26.1</v>
      </c>
      <c r="K75" s="89">
        <v>11</v>
      </c>
      <c r="L75" s="120">
        <v>1.3</v>
      </c>
      <c r="M75" s="89">
        <v>19</v>
      </c>
      <c r="N75" s="105">
        <v>2.2999999999999998</v>
      </c>
      <c r="O75" s="89">
        <v>35</v>
      </c>
      <c r="P75" s="104">
        <v>4.2</v>
      </c>
      <c r="Q75" s="225">
        <v>38</v>
      </c>
      <c r="R75" s="233">
        <v>4.5999999999999996</v>
      </c>
      <c r="S75" s="89">
        <v>11</v>
      </c>
      <c r="T75" s="104">
        <v>1.3</v>
      </c>
    </row>
    <row r="76" spans="2:20">
      <c r="B76" s="11" t="s">
        <v>388</v>
      </c>
      <c r="C76" s="89">
        <v>47</v>
      </c>
      <c r="D76" s="117">
        <v>29</v>
      </c>
      <c r="E76" s="89">
        <v>95</v>
      </c>
      <c r="F76" s="117">
        <v>58.6</v>
      </c>
      <c r="G76" s="89">
        <v>7</v>
      </c>
      <c r="H76" s="118">
        <v>4.3</v>
      </c>
      <c r="I76" s="225">
        <v>41</v>
      </c>
      <c r="J76" s="224">
        <v>25.3</v>
      </c>
      <c r="K76" s="90" t="s">
        <v>284</v>
      </c>
      <c r="L76" s="90" t="s">
        <v>284</v>
      </c>
      <c r="M76" s="89">
        <v>2</v>
      </c>
      <c r="N76" s="104" t="s">
        <v>292</v>
      </c>
      <c r="O76" s="89">
        <v>12</v>
      </c>
      <c r="P76" s="104">
        <v>7.4</v>
      </c>
      <c r="Q76" s="225">
        <v>28</v>
      </c>
      <c r="R76" s="233">
        <v>17.3</v>
      </c>
      <c r="S76" s="89">
        <v>2</v>
      </c>
      <c r="T76" s="104" t="s">
        <v>292</v>
      </c>
    </row>
    <row r="77" spans="2:20">
      <c r="B77" s="11" t="s">
        <v>389</v>
      </c>
      <c r="C77" s="89">
        <v>438</v>
      </c>
      <c r="D77" s="117">
        <v>28.8</v>
      </c>
      <c r="E77" s="89">
        <v>1395</v>
      </c>
      <c r="F77" s="117">
        <v>91.8</v>
      </c>
      <c r="G77" s="89">
        <v>122</v>
      </c>
      <c r="H77" s="118">
        <v>8</v>
      </c>
      <c r="I77" s="225">
        <v>377</v>
      </c>
      <c r="J77" s="224">
        <v>24.8</v>
      </c>
      <c r="K77" s="89">
        <v>3</v>
      </c>
      <c r="L77" s="103" t="s">
        <v>292</v>
      </c>
      <c r="M77" s="89">
        <v>22</v>
      </c>
      <c r="N77" s="104">
        <v>1.4</v>
      </c>
      <c r="O77" s="89">
        <v>139</v>
      </c>
      <c r="P77" s="104">
        <v>9.1</v>
      </c>
      <c r="Q77" s="225">
        <v>135</v>
      </c>
      <c r="R77" s="233">
        <v>8.9</v>
      </c>
      <c r="S77" s="89">
        <v>20</v>
      </c>
      <c r="T77" s="104">
        <v>1.3</v>
      </c>
    </row>
    <row r="78" spans="2:20">
      <c r="B78" s="11" t="s">
        <v>390</v>
      </c>
      <c r="C78" s="89">
        <v>197</v>
      </c>
      <c r="D78" s="117">
        <v>26.1</v>
      </c>
      <c r="E78" s="89">
        <v>600</v>
      </c>
      <c r="F78" s="117">
        <v>79.5</v>
      </c>
      <c r="G78" s="89">
        <v>50</v>
      </c>
      <c r="H78" s="118">
        <v>6.6</v>
      </c>
      <c r="I78" s="225">
        <v>175</v>
      </c>
      <c r="J78" s="224">
        <v>23.2</v>
      </c>
      <c r="K78" s="89">
        <v>4</v>
      </c>
      <c r="L78" s="103" t="s">
        <v>292</v>
      </c>
      <c r="M78" s="89">
        <v>4</v>
      </c>
      <c r="N78" s="104" t="s">
        <v>292</v>
      </c>
      <c r="O78" s="89">
        <v>61</v>
      </c>
      <c r="P78" s="104">
        <v>8.1</v>
      </c>
      <c r="Q78" s="225">
        <v>92</v>
      </c>
      <c r="R78" s="233">
        <v>12.2</v>
      </c>
      <c r="S78" s="89">
        <v>19</v>
      </c>
      <c r="T78" s="104">
        <v>2.5</v>
      </c>
    </row>
    <row r="79" spans="2:20">
      <c r="B79" s="11" t="s">
        <v>391</v>
      </c>
      <c r="C79" s="89">
        <v>15</v>
      </c>
      <c r="D79" s="117">
        <v>25.9</v>
      </c>
      <c r="E79" s="89">
        <v>45</v>
      </c>
      <c r="F79" s="117">
        <v>77.599999999999994</v>
      </c>
      <c r="G79" s="89">
        <v>3</v>
      </c>
      <c r="H79" s="118" t="s">
        <v>292</v>
      </c>
      <c r="I79" s="225">
        <v>24</v>
      </c>
      <c r="J79" s="224">
        <v>41.4</v>
      </c>
      <c r="K79" s="89">
        <v>2</v>
      </c>
      <c r="L79" s="89" t="s">
        <v>292</v>
      </c>
      <c r="M79" s="90" t="s">
        <v>284</v>
      </c>
      <c r="N79" s="90" t="s">
        <v>284</v>
      </c>
      <c r="O79" s="89">
        <v>4</v>
      </c>
      <c r="P79" s="104" t="s">
        <v>292</v>
      </c>
      <c r="Q79" s="225">
        <v>6</v>
      </c>
      <c r="R79" s="233">
        <v>10.3</v>
      </c>
      <c r="S79" s="89">
        <v>2</v>
      </c>
      <c r="T79" s="104" t="s">
        <v>292</v>
      </c>
    </row>
    <row r="80" spans="2:20">
      <c r="B80" s="11"/>
      <c r="C80" s="89"/>
      <c r="D80" s="117"/>
      <c r="E80" s="89"/>
      <c r="F80" s="117"/>
      <c r="G80" s="89"/>
      <c r="H80" s="118"/>
      <c r="I80" s="225"/>
      <c r="J80" s="224"/>
      <c r="K80" s="89"/>
      <c r="L80" s="103"/>
      <c r="M80" s="89"/>
      <c r="N80" s="104"/>
      <c r="O80" s="89"/>
      <c r="P80" s="104"/>
      <c r="Q80" s="225"/>
      <c r="R80" s="233"/>
      <c r="S80" s="89"/>
      <c r="T80" s="104"/>
    </row>
    <row r="81" spans="2:20">
      <c r="B81" s="11" t="s">
        <v>392</v>
      </c>
      <c r="C81" s="89">
        <v>755</v>
      </c>
      <c r="D81" s="117">
        <v>35.4</v>
      </c>
      <c r="E81" s="89">
        <v>1670</v>
      </c>
      <c r="F81" s="117">
        <v>78.3</v>
      </c>
      <c r="G81" s="89">
        <v>240</v>
      </c>
      <c r="H81" s="118">
        <v>11.3</v>
      </c>
      <c r="I81" s="225">
        <v>721</v>
      </c>
      <c r="J81" s="224">
        <v>33.799999999999997</v>
      </c>
      <c r="K81" s="89">
        <v>14</v>
      </c>
      <c r="L81" s="105">
        <v>0.7</v>
      </c>
      <c r="M81" s="89">
        <v>55</v>
      </c>
      <c r="N81" s="104">
        <v>2.6</v>
      </c>
      <c r="O81" s="89">
        <v>194</v>
      </c>
      <c r="P81" s="104">
        <v>9.1</v>
      </c>
      <c r="Q81" s="225">
        <v>307</v>
      </c>
      <c r="R81" s="233">
        <v>14.4</v>
      </c>
      <c r="S81" s="89">
        <v>54</v>
      </c>
      <c r="T81" s="104">
        <v>2.5</v>
      </c>
    </row>
    <row r="82" spans="2:20">
      <c r="B82" s="11" t="s">
        <v>393</v>
      </c>
      <c r="C82" s="89">
        <v>197</v>
      </c>
      <c r="D82" s="117">
        <v>36.799999999999997</v>
      </c>
      <c r="E82" s="89">
        <v>429</v>
      </c>
      <c r="F82" s="117">
        <v>80.2</v>
      </c>
      <c r="G82" s="89">
        <v>44</v>
      </c>
      <c r="H82" s="118">
        <v>8.1999999999999993</v>
      </c>
      <c r="I82" s="225">
        <v>147</v>
      </c>
      <c r="J82" s="224">
        <v>27.5</v>
      </c>
      <c r="K82" s="89">
        <v>4</v>
      </c>
      <c r="L82" s="105" t="s">
        <v>292</v>
      </c>
      <c r="M82" s="89">
        <v>10</v>
      </c>
      <c r="N82" s="104">
        <v>1.9</v>
      </c>
      <c r="O82" s="89">
        <v>20</v>
      </c>
      <c r="P82" s="104">
        <v>3.7</v>
      </c>
      <c r="Q82" s="225">
        <v>81</v>
      </c>
      <c r="R82" s="233">
        <v>15.1</v>
      </c>
      <c r="S82" s="89">
        <v>11</v>
      </c>
      <c r="T82" s="104">
        <v>2.1</v>
      </c>
    </row>
    <row r="83" spans="2:20">
      <c r="B83" s="11" t="s">
        <v>394</v>
      </c>
      <c r="C83" s="89">
        <v>4183</v>
      </c>
      <c r="D83" s="117">
        <v>31</v>
      </c>
      <c r="E83" s="89">
        <v>10663</v>
      </c>
      <c r="F83" s="117">
        <v>79</v>
      </c>
      <c r="G83" s="89">
        <v>1364</v>
      </c>
      <c r="H83" s="118">
        <v>10.1</v>
      </c>
      <c r="I83" s="225">
        <v>1960</v>
      </c>
      <c r="J83" s="224">
        <v>14.5</v>
      </c>
      <c r="K83" s="89">
        <v>53</v>
      </c>
      <c r="L83" s="238">
        <v>0.4</v>
      </c>
      <c r="M83" s="89">
        <v>909</v>
      </c>
      <c r="N83" s="104">
        <v>6.7</v>
      </c>
      <c r="O83" s="89">
        <v>909</v>
      </c>
      <c r="P83" s="104">
        <v>6.7</v>
      </c>
      <c r="Q83" s="225">
        <v>893</v>
      </c>
      <c r="R83" s="233">
        <v>6.6</v>
      </c>
      <c r="S83" s="89">
        <v>124</v>
      </c>
      <c r="T83" s="104">
        <v>0.9</v>
      </c>
    </row>
    <row r="84" spans="2:20">
      <c r="B84" s="11" t="s">
        <v>395</v>
      </c>
      <c r="C84" s="89">
        <v>105</v>
      </c>
      <c r="D84" s="117">
        <v>38.299999999999997</v>
      </c>
      <c r="E84" s="89">
        <v>190</v>
      </c>
      <c r="F84" s="117">
        <v>69.3</v>
      </c>
      <c r="G84" s="89">
        <v>19</v>
      </c>
      <c r="H84" s="118">
        <v>6.9</v>
      </c>
      <c r="I84" s="225">
        <v>78</v>
      </c>
      <c r="J84" s="224">
        <v>28.5</v>
      </c>
      <c r="K84" s="90" t="s">
        <v>284</v>
      </c>
      <c r="L84" s="90" t="s">
        <v>284</v>
      </c>
      <c r="M84" s="89">
        <v>4</v>
      </c>
      <c r="N84" s="104" t="s">
        <v>292</v>
      </c>
      <c r="O84" s="89">
        <v>29</v>
      </c>
      <c r="P84" s="104">
        <v>10.6</v>
      </c>
      <c r="Q84" s="225">
        <v>51</v>
      </c>
      <c r="R84" s="233">
        <v>18.600000000000001</v>
      </c>
      <c r="S84" s="89">
        <v>6</v>
      </c>
      <c r="T84" s="104">
        <v>2.2000000000000002</v>
      </c>
    </row>
    <row r="85" spans="2:20">
      <c r="B85" s="11" t="s">
        <v>396</v>
      </c>
      <c r="C85" s="89">
        <v>43</v>
      </c>
      <c r="D85" s="117">
        <v>24.4</v>
      </c>
      <c r="E85" s="89">
        <v>104</v>
      </c>
      <c r="F85" s="117">
        <v>59.1</v>
      </c>
      <c r="G85" s="89">
        <v>13</v>
      </c>
      <c r="H85" s="118">
        <v>7.4</v>
      </c>
      <c r="I85" s="225">
        <v>62</v>
      </c>
      <c r="J85" s="224">
        <v>35.200000000000003</v>
      </c>
      <c r="K85" s="89">
        <v>1</v>
      </c>
      <c r="L85" s="103" t="s">
        <v>292</v>
      </c>
      <c r="M85" s="89">
        <v>7</v>
      </c>
      <c r="N85" s="105">
        <v>4</v>
      </c>
      <c r="O85" s="89">
        <v>10</v>
      </c>
      <c r="P85" s="104">
        <v>5.7</v>
      </c>
      <c r="Q85" s="225">
        <v>33</v>
      </c>
      <c r="R85" s="233">
        <v>18.8</v>
      </c>
      <c r="S85" s="89">
        <v>3</v>
      </c>
      <c r="T85" s="104" t="s">
        <v>292</v>
      </c>
    </row>
    <row r="86" spans="2:20">
      <c r="B86" s="11"/>
      <c r="C86" s="89"/>
      <c r="D86" s="117"/>
      <c r="E86" s="89"/>
      <c r="F86" s="117"/>
      <c r="G86" s="89"/>
      <c r="H86" s="118"/>
      <c r="I86" s="225"/>
      <c r="J86" s="224"/>
      <c r="K86" s="89"/>
      <c r="L86" s="103"/>
      <c r="M86" s="89"/>
      <c r="N86" s="104"/>
      <c r="O86" s="89"/>
      <c r="P86" s="104"/>
      <c r="Q86" s="225"/>
      <c r="R86" s="233"/>
      <c r="S86" s="89"/>
      <c r="T86" s="104"/>
    </row>
    <row r="87" spans="2:20">
      <c r="B87" s="11" t="s">
        <v>397</v>
      </c>
      <c r="C87" s="89">
        <v>10</v>
      </c>
      <c r="D87" s="117">
        <v>35.700000000000003</v>
      </c>
      <c r="E87" s="89">
        <v>24</v>
      </c>
      <c r="F87" s="117">
        <v>85.7</v>
      </c>
      <c r="G87" s="89">
        <v>5</v>
      </c>
      <c r="H87" s="118" t="s">
        <v>292</v>
      </c>
      <c r="I87" s="225">
        <v>13</v>
      </c>
      <c r="J87" s="224">
        <v>46.4</v>
      </c>
      <c r="K87" s="89">
        <v>1</v>
      </c>
      <c r="L87" s="89" t="s">
        <v>292</v>
      </c>
      <c r="M87" s="89">
        <v>2</v>
      </c>
      <c r="N87" s="105" t="s">
        <v>292</v>
      </c>
      <c r="O87" s="89">
        <v>3</v>
      </c>
      <c r="P87" s="104" t="s">
        <v>292</v>
      </c>
      <c r="Q87" s="225">
        <v>1</v>
      </c>
      <c r="R87" s="104" t="s">
        <v>292</v>
      </c>
      <c r="S87" s="89">
        <v>2</v>
      </c>
      <c r="T87" s="104" t="s">
        <v>292</v>
      </c>
    </row>
    <row r="88" spans="2:20">
      <c r="B88" s="11" t="s">
        <v>398</v>
      </c>
      <c r="C88" s="89">
        <v>57</v>
      </c>
      <c r="D88" s="117">
        <v>21.8</v>
      </c>
      <c r="E88" s="89">
        <v>186</v>
      </c>
      <c r="F88" s="117">
        <v>71.3</v>
      </c>
      <c r="G88" s="89">
        <v>12</v>
      </c>
      <c r="H88" s="118">
        <v>4.5999999999999996</v>
      </c>
      <c r="I88" s="225">
        <v>86</v>
      </c>
      <c r="J88" s="224">
        <v>33</v>
      </c>
      <c r="K88" s="90" t="s">
        <v>284</v>
      </c>
      <c r="L88" s="90" t="s">
        <v>284</v>
      </c>
      <c r="M88" s="89" t="s">
        <v>284</v>
      </c>
      <c r="N88" s="89" t="s">
        <v>284</v>
      </c>
      <c r="O88" s="89">
        <v>29</v>
      </c>
      <c r="P88" s="104">
        <v>11.1</v>
      </c>
      <c r="Q88" s="225">
        <v>56</v>
      </c>
      <c r="R88" s="233">
        <v>21.5</v>
      </c>
      <c r="S88" s="89">
        <v>9</v>
      </c>
      <c r="T88" s="104">
        <v>3.4</v>
      </c>
    </row>
    <row r="89" spans="2:20">
      <c r="B89" s="11" t="s">
        <v>399</v>
      </c>
      <c r="C89" s="89">
        <v>14</v>
      </c>
      <c r="D89" s="117">
        <v>21.2</v>
      </c>
      <c r="E89" s="89">
        <v>52</v>
      </c>
      <c r="F89" s="117">
        <v>78.8</v>
      </c>
      <c r="G89" s="89">
        <v>6</v>
      </c>
      <c r="H89" s="118">
        <v>9.1</v>
      </c>
      <c r="I89" s="225">
        <v>27</v>
      </c>
      <c r="J89" s="224">
        <v>40.9</v>
      </c>
      <c r="K89" s="90" t="s">
        <v>284</v>
      </c>
      <c r="L89" s="90" t="s">
        <v>284</v>
      </c>
      <c r="M89" s="89" t="s">
        <v>284</v>
      </c>
      <c r="N89" s="89" t="s">
        <v>284</v>
      </c>
      <c r="O89" s="89">
        <v>8</v>
      </c>
      <c r="P89" s="104">
        <v>12.1</v>
      </c>
      <c r="Q89" s="225">
        <v>23</v>
      </c>
      <c r="R89" s="233">
        <v>34.799999999999997</v>
      </c>
      <c r="S89" s="89">
        <v>1</v>
      </c>
      <c r="T89" s="104" t="s">
        <v>292</v>
      </c>
    </row>
    <row r="90" spans="2:20">
      <c r="B90" s="11" t="s">
        <v>400</v>
      </c>
      <c r="C90" s="89">
        <v>58</v>
      </c>
      <c r="D90" s="117">
        <v>25.3</v>
      </c>
      <c r="E90" s="89">
        <v>140</v>
      </c>
      <c r="F90" s="117">
        <v>61.1</v>
      </c>
      <c r="G90" s="89">
        <v>21</v>
      </c>
      <c r="H90" s="118">
        <v>9.1999999999999993</v>
      </c>
      <c r="I90" s="225">
        <v>73</v>
      </c>
      <c r="J90" s="224">
        <v>31.9</v>
      </c>
      <c r="K90" s="90" t="s">
        <v>284</v>
      </c>
      <c r="L90" s="90" t="s">
        <v>284</v>
      </c>
      <c r="M90" s="89" t="s">
        <v>284</v>
      </c>
      <c r="N90" s="89" t="s">
        <v>284</v>
      </c>
      <c r="O90" s="89">
        <v>13</v>
      </c>
      <c r="P90" s="104">
        <v>5.7</v>
      </c>
      <c r="Q90" s="225">
        <v>22</v>
      </c>
      <c r="R90" s="233">
        <v>9.6</v>
      </c>
      <c r="S90" s="89">
        <v>4</v>
      </c>
      <c r="T90" s="104" t="s">
        <v>292</v>
      </c>
    </row>
    <row r="91" spans="2:20">
      <c r="B91" s="11" t="s">
        <v>401</v>
      </c>
      <c r="C91" s="89">
        <v>797</v>
      </c>
      <c r="D91" s="117">
        <v>23.6</v>
      </c>
      <c r="E91" s="89">
        <v>2824</v>
      </c>
      <c r="F91" s="117">
        <v>83.6</v>
      </c>
      <c r="G91" s="89">
        <v>224</v>
      </c>
      <c r="H91" s="118">
        <v>6.6</v>
      </c>
      <c r="I91" s="225">
        <v>394</v>
      </c>
      <c r="J91" s="224">
        <v>11.7</v>
      </c>
      <c r="K91" s="89">
        <v>7</v>
      </c>
      <c r="L91" s="238">
        <v>0.2</v>
      </c>
      <c r="M91" s="89">
        <v>36</v>
      </c>
      <c r="N91" s="104">
        <v>1.1000000000000001</v>
      </c>
      <c r="O91" s="89">
        <v>135</v>
      </c>
      <c r="P91" s="104">
        <v>4</v>
      </c>
      <c r="Q91" s="225">
        <v>269</v>
      </c>
      <c r="R91" s="233">
        <v>8</v>
      </c>
      <c r="S91" s="89">
        <v>50</v>
      </c>
      <c r="T91" s="104">
        <v>1.5</v>
      </c>
    </row>
    <row r="92" spans="2:20">
      <c r="B92" s="11"/>
      <c r="C92" s="89"/>
      <c r="D92" s="117"/>
      <c r="E92" s="89"/>
      <c r="F92" s="117"/>
      <c r="G92" s="89"/>
      <c r="H92" s="118"/>
      <c r="I92" s="225"/>
      <c r="J92" s="224"/>
      <c r="K92" s="89"/>
      <c r="L92" s="103"/>
      <c r="M92" s="89"/>
      <c r="N92" s="104"/>
      <c r="O92" s="89"/>
      <c r="P92" s="104"/>
      <c r="Q92" s="225"/>
      <c r="R92" s="233"/>
      <c r="S92" s="89"/>
      <c r="T92" s="104"/>
    </row>
    <row r="93" spans="2:20">
      <c r="B93" s="11" t="s">
        <v>402</v>
      </c>
      <c r="C93" s="89">
        <v>16</v>
      </c>
      <c r="D93" s="117">
        <v>18.2</v>
      </c>
      <c r="E93" s="89">
        <v>66</v>
      </c>
      <c r="F93" s="117">
        <v>75</v>
      </c>
      <c r="G93" s="89">
        <v>5</v>
      </c>
      <c r="H93" s="118" t="s">
        <v>292</v>
      </c>
      <c r="I93" s="225">
        <v>39</v>
      </c>
      <c r="J93" s="224">
        <v>44.3</v>
      </c>
      <c r="K93" s="90" t="s">
        <v>284</v>
      </c>
      <c r="L93" s="90" t="s">
        <v>284</v>
      </c>
      <c r="M93" s="89">
        <v>3</v>
      </c>
      <c r="N93" s="105" t="s">
        <v>292</v>
      </c>
      <c r="O93" s="89">
        <v>7</v>
      </c>
      <c r="P93" s="104">
        <v>8</v>
      </c>
      <c r="Q93" s="225">
        <v>12</v>
      </c>
      <c r="R93" s="233">
        <v>13.6</v>
      </c>
      <c r="S93" s="89" t="s">
        <v>284</v>
      </c>
      <c r="T93" s="89" t="s">
        <v>284</v>
      </c>
    </row>
    <row r="94" spans="2:20">
      <c r="B94" s="11" t="s">
        <v>403</v>
      </c>
      <c r="C94" s="89">
        <v>41</v>
      </c>
      <c r="D94" s="117">
        <v>24</v>
      </c>
      <c r="E94" s="89">
        <v>131</v>
      </c>
      <c r="F94" s="117">
        <v>76.599999999999994</v>
      </c>
      <c r="G94" s="89">
        <v>15</v>
      </c>
      <c r="H94" s="118">
        <v>8.8000000000000007</v>
      </c>
      <c r="I94" s="225">
        <v>73</v>
      </c>
      <c r="J94" s="224">
        <v>42.7</v>
      </c>
      <c r="K94" s="89">
        <v>2</v>
      </c>
      <c r="L94" s="103" t="s">
        <v>292</v>
      </c>
      <c r="M94" s="89" t="s">
        <v>284</v>
      </c>
      <c r="N94" s="89" t="s">
        <v>284</v>
      </c>
      <c r="O94" s="89" t="s">
        <v>284</v>
      </c>
      <c r="P94" s="89" t="s">
        <v>284</v>
      </c>
      <c r="Q94" s="225">
        <v>24</v>
      </c>
      <c r="R94" s="233">
        <v>14</v>
      </c>
      <c r="S94" s="89">
        <v>3</v>
      </c>
      <c r="T94" s="105" t="s">
        <v>292</v>
      </c>
    </row>
    <row r="95" spans="2:20">
      <c r="B95" s="11" t="s">
        <v>404</v>
      </c>
      <c r="C95" s="89">
        <v>729</v>
      </c>
      <c r="D95" s="117">
        <v>32</v>
      </c>
      <c r="E95" s="89">
        <v>1632</v>
      </c>
      <c r="F95" s="117">
        <v>71.599999999999994</v>
      </c>
      <c r="G95" s="89">
        <v>310</v>
      </c>
      <c r="H95" s="118">
        <v>13.6</v>
      </c>
      <c r="I95" s="225">
        <v>729</v>
      </c>
      <c r="J95" s="224">
        <v>32</v>
      </c>
      <c r="K95" s="89">
        <v>11</v>
      </c>
      <c r="L95" s="238">
        <v>0.5</v>
      </c>
      <c r="M95" s="89">
        <v>29</v>
      </c>
      <c r="N95" s="104">
        <v>1.3</v>
      </c>
      <c r="O95" s="89">
        <v>158</v>
      </c>
      <c r="P95" s="104">
        <v>6.9</v>
      </c>
      <c r="Q95" s="225">
        <v>385</v>
      </c>
      <c r="R95" s="233">
        <v>16.899999999999999</v>
      </c>
      <c r="S95" s="89">
        <v>53</v>
      </c>
      <c r="T95" s="104">
        <v>2.2999999999999998</v>
      </c>
    </row>
    <row r="96" spans="2:20">
      <c r="B96" s="11" t="s">
        <v>405</v>
      </c>
      <c r="C96" s="89">
        <v>306</v>
      </c>
      <c r="D96" s="117">
        <v>19.7</v>
      </c>
      <c r="E96" s="89">
        <v>1345</v>
      </c>
      <c r="F96" s="117">
        <v>86.8</v>
      </c>
      <c r="G96" s="89">
        <v>117</v>
      </c>
      <c r="H96" s="118">
        <v>7.5</v>
      </c>
      <c r="I96" s="225">
        <v>481</v>
      </c>
      <c r="J96" s="224">
        <v>31</v>
      </c>
      <c r="K96" s="90" t="s">
        <v>284</v>
      </c>
      <c r="L96" s="90" t="s">
        <v>284</v>
      </c>
      <c r="M96" s="89">
        <v>33</v>
      </c>
      <c r="N96" s="104">
        <v>2.1</v>
      </c>
      <c r="O96" s="89">
        <v>106</v>
      </c>
      <c r="P96" s="104">
        <v>6.8</v>
      </c>
      <c r="Q96" s="225">
        <v>200</v>
      </c>
      <c r="R96" s="233">
        <v>12.9</v>
      </c>
      <c r="S96" s="89">
        <v>28</v>
      </c>
      <c r="T96" s="104">
        <v>1.8</v>
      </c>
    </row>
    <row r="97" spans="2:20">
      <c r="B97" s="11" t="s">
        <v>406</v>
      </c>
      <c r="C97" s="89">
        <v>240</v>
      </c>
      <c r="D97" s="117">
        <v>27.9</v>
      </c>
      <c r="E97" s="89">
        <v>707</v>
      </c>
      <c r="F97" s="117">
        <v>82.2</v>
      </c>
      <c r="G97" s="89">
        <v>97</v>
      </c>
      <c r="H97" s="118">
        <v>11.3</v>
      </c>
      <c r="I97" s="225">
        <v>248</v>
      </c>
      <c r="J97" s="224">
        <v>28.8</v>
      </c>
      <c r="K97" s="89">
        <v>26</v>
      </c>
      <c r="L97" s="238">
        <v>3</v>
      </c>
      <c r="M97" s="89">
        <v>10</v>
      </c>
      <c r="N97" s="104">
        <v>1.2</v>
      </c>
      <c r="O97" s="89">
        <v>92</v>
      </c>
      <c r="P97" s="104">
        <v>10.7</v>
      </c>
      <c r="Q97" s="225">
        <v>219</v>
      </c>
      <c r="R97" s="233">
        <v>25.5</v>
      </c>
      <c r="S97" s="89">
        <v>27</v>
      </c>
      <c r="T97" s="104">
        <v>3.1</v>
      </c>
    </row>
    <row r="98" spans="2:20">
      <c r="B98" s="11"/>
      <c r="C98" s="89"/>
      <c r="D98" s="117"/>
      <c r="E98" s="89"/>
      <c r="F98" s="117"/>
      <c r="G98" s="89"/>
      <c r="H98" s="118"/>
      <c r="I98" s="225"/>
      <c r="J98" s="224"/>
      <c r="K98" s="89"/>
      <c r="L98" s="103"/>
      <c r="M98" s="89"/>
      <c r="N98" s="104"/>
      <c r="O98" s="89"/>
      <c r="P98" s="104"/>
      <c r="Q98" s="225"/>
      <c r="R98" s="233"/>
      <c r="S98" s="89"/>
      <c r="T98" s="104"/>
    </row>
    <row r="99" spans="2:20">
      <c r="B99" s="11" t="s">
        <v>407</v>
      </c>
      <c r="C99" s="89">
        <v>93</v>
      </c>
      <c r="D99" s="117">
        <v>20.9</v>
      </c>
      <c r="E99" s="89">
        <v>338</v>
      </c>
      <c r="F99" s="117">
        <v>76</v>
      </c>
      <c r="G99" s="89">
        <v>36</v>
      </c>
      <c r="H99" s="118">
        <v>8.1</v>
      </c>
      <c r="I99" s="225">
        <v>121</v>
      </c>
      <c r="J99" s="224">
        <v>27.2</v>
      </c>
      <c r="K99" s="89">
        <v>1</v>
      </c>
      <c r="L99" s="89" t="s">
        <v>292</v>
      </c>
      <c r="M99" s="89">
        <v>6</v>
      </c>
      <c r="N99" s="104">
        <v>1.3</v>
      </c>
      <c r="O99" s="89">
        <v>36</v>
      </c>
      <c r="P99" s="104">
        <v>8.1</v>
      </c>
      <c r="Q99" s="225">
        <v>76</v>
      </c>
      <c r="R99" s="233">
        <v>17.100000000000001</v>
      </c>
      <c r="S99" s="89">
        <v>3</v>
      </c>
      <c r="T99" s="104" t="s">
        <v>292</v>
      </c>
    </row>
    <row r="100" spans="2:20">
      <c r="B100" s="11" t="s">
        <v>408</v>
      </c>
      <c r="C100" s="89">
        <v>17</v>
      </c>
      <c r="D100" s="117">
        <v>25.8</v>
      </c>
      <c r="E100" s="89">
        <v>48</v>
      </c>
      <c r="F100" s="117">
        <v>72.7</v>
      </c>
      <c r="G100" s="89">
        <v>10</v>
      </c>
      <c r="H100" s="118">
        <v>15.2</v>
      </c>
      <c r="I100" s="225">
        <v>34</v>
      </c>
      <c r="J100" s="224">
        <v>51.5</v>
      </c>
      <c r="K100" s="89" t="s">
        <v>284</v>
      </c>
      <c r="L100" s="89" t="s">
        <v>284</v>
      </c>
      <c r="M100" s="89">
        <v>1</v>
      </c>
      <c r="N100" s="105" t="s">
        <v>292</v>
      </c>
      <c r="O100" s="89">
        <v>7</v>
      </c>
      <c r="P100" s="104">
        <v>10.6</v>
      </c>
      <c r="Q100" s="225">
        <v>5</v>
      </c>
      <c r="R100" s="233" t="s">
        <v>292</v>
      </c>
      <c r="S100" s="89" t="s">
        <v>284</v>
      </c>
      <c r="T100" s="89" t="s">
        <v>284</v>
      </c>
    </row>
    <row r="101" spans="2:20">
      <c r="B101" s="11" t="s">
        <v>409</v>
      </c>
      <c r="C101" s="89">
        <v>239</v>
      </c>
      <c r="D101" s="117">
        <v>32.1</v>
      </c>
      <c r="E101" s="89">
        <v>672</v>
      </c>
      <c r="F101" s="117">
        <v>90.3</v>
      </c>
      <c r="G101" s="89">
        <v>59</v>
      </c>
      <c r="H101" s="118">
        <v>7.9</v>
      </c>
      <c r="I101" s="225">
        <v>256</v>
      </c>
      <c r="J101" s="224">
        <v>34.4</v>
      </c>
      <c r="K101" s="89">
        <v>3</v>
      </c>
      <c r="L101" s="103" t="s">
        <v>292</v>
      </c>
      <c r="M101" s="89">
        <v>6</v>
      </c>
      <c r="N101" s="104">
        <v>0.8</v>
      </c>
      <c r="O101" s="89">
        <v>34</v>
      </c>
      <c r="P101" s="104">
        <v>4.5999999999999996</v>
      </c>
      <c r="Q101" s="225">
        <v>95</v>
      </c>
      <c r="R101" s="233">
        <v>12.8</v>
      </c>
      <c r="S101" s="89">
        <v>13</v>
      </c>
      <c r="T101" s="104">
        <v>1.7</v>
      </c>
    </row>
    <row r="102" spans="2:20">
      <c r="B102" s="11" t="s">
        <v>410</v>
      </c>
      <c r="C102" s="89">
        <v>150</v>
      </c>
      <c r="D102" s="117">
        <v>27.3</v>
      </c>
      <c r="E102" s="89">
        <v>390</v>
      </c>
      <c r="F102" s="117">
        <v>71</v>
      </c>
      <c r="G102" s="89">
        <v>53</v>
      </c>
      <c r="H102" s="118">
        <v>9.6999999999999993</v>
      </c>
      <c r="I102" s="225">
        <v>165</v>
      </c>
      <c r="J102" s="224">
        <v>30.1</v>
      </c>
      <c r="K102" s="89">
        <v>2</v>
      </c>
      <c r="L102" s="103" t="s">
        <v>292</v>
      </c>
      <c r="M102" s="89">
        <v>8</v>
      </c>
      <c r="N102" s="104">
        <v>1.5</v>
      </c>
      <c r="O102" s="89">
        <v>24</v>
      </c>
      <c r="P102" s="104">
        <v>4.4000000000000004</v>
      </c>
      <c r="Q102" s="225">
        <v>53</v>
      </c>
      <c r="R102" s="233">
        <v>9.6999999999999993</v>
      </c>
      <c r="S102" s="89">
        <v>11</v>
      </c>
      <c r="T102" s="104">
        <v>2</v>
      </c>
    </row>
    <row r="103" spans="2:20">
      <c r="B103" s="11" t="s">
        <v>411</v>
      </c>
      <c r="C103" s="89">
        <v>292</v>
      </c>
      <c r="D103" s="117">
        <v>32.200000000000003</v>
      </c>
      <c r="E103" s="89">
        <v>762</v>
      </c>
      <c r="F103" s="117">
        <v>84.1</v>
      </c>
      <c r="G103" s="89">
        <v>136</v>
      </c>
      <c r="H103" s="118">
        <v>15</v>
      </c>
      <c r="I103" s="225">
        <v>206</v>
      </c>
      <c r="J103" s="224">
        <v>22.7</v>
      </c>
      <c r="K103" s="89">
        <v>57</v>
      </c>
      <c r="L103" s="238">
        <v>6.3</v>
      </c>
      <c r="M103" s="89">
        <v>6</v>
      </c>
      <c r="N103" s="104">
        <v>0.7</v>
      </c>
      <c r="O103" s="89">
        <v>105</v>
      </c>
      <c r="P103" s="104">
        <v>11.6</v>
      </c>
      <c r="Q103" s="225">
        <v>185</v>
      </c>
      <c r="R103" s="233">
        <v>20.399999999999999</v>
      </c>
      <c r="S103" s="89">
        <v>29</v>
      </c>
      <c r="T103" s="104">
        <v>3.2</v>
      </c>
    </row>
    <row r="104" spans="2:20">
      <c r="B104" s="11"/>
      <c r="C104" s="89"/>
      <c r="D104" s="117"/>
      <c r="E104" s="89"/>
      <c r="F104" s="117"/>
      <c r="G104" s="89"/>
      <c r="H104" s="118"/>
      <c r="I104" s="225"/>
      <c r="J104" s="224"/>
      <c r="K104" s="89"/>
      <c r="L104" s="103"/>
      <c r="M104" s="89"/>
      <c r="N104" s="104"/>
      <c r="O104" s="89"/>
      <c r="P104" s="104"/>
      <c r="Q104" s="225"/>
      <c r="R104" s="233"/>
      <c r="S104" s="89"/>
      <c r="T104" s="104"/>
    </row>
    <row r="105" spans="2:20">
      <c r="B105" s="11" t="s">
        <v>412</v>
      </c>
      <c r="C105" s="89">
        <v>1019</v>
      </c>
      <c r="D105" s="117">
        <v>27.8</v>
      </c>
      <c r="E105" s="89">
        <v>3259</v>
      </c>
      <c r="F105" s="117">
        <v>89</v>
      </c>
      <c r="G105" s="89">
        <v>376</v>
      </c>
      <c r="H105" s="118">
        <v>10.3</v>
      </c>
      <c r="I105" s="225">
        <v>650</v>
      </c>
      <c r="J105" s="224">
        <v>17.7</v>
      </c>
      <c r="K105" s="89">
        <v>63</v>
      </c>
      <c r="L105" s="238">
        <v>1.7</v>
      </c>
      <c r="M105" s="89">
        <v>31</v>
      </c>
      <c r="N105" s="104">
        <v>0.8</v>
      </c>
      <c r="O105" s="89">
        <v>358</v>
      </c>
      <c r="P105" s="104">
        <v>9.8000000000000007</v>
      </c>
      <c r="Q105" s="225">
        <v>207</v>
      </c>
      <c r="R105" s="233">
        <v>5.7</v>
      </c>
      <c r="S105" s="89">
        <v>26</v>
      </c>
      <c r="T105" s="104">
        <v>0.7</v>
      </c>
    </row>
    <row r="106" spans="2:20">
      <c r="B106" s="11" t="s">
        <v>413</v>
      </c>
      <c r="C106" s="89">
        <v>5295</v>
      </c>
      <c r="D106" s="117">
        <v>22.4</v>
      </c>
      <c r="E106" s="89">
        <v>20014</v>
      </c>
      <c r="F106" s="117">
        <v>84.8</v>
      </c>
      <c r="G106" s="89">
        <v>2054</v>
      </c>
      <c r="H106" s="118">
        <v>8.6999999999999993</v>
      </c>
      <c r="I106" s="225">
        <v>4549</v>
      </c>
      <c r="J106" s="224">
        <v>19.3</v>
      </c>
      <c r="K106" s="89">
        <v>101</v>
      </c>
      <c r="L106" s="238">
        <v>0.4</v>
      </c>
      <c r="M106" s="89">
        <v>662</v>
      </c>
      <c r="N106" s="104">
        <v>2.8</v>
      </c>
      <c r="O106" s="89">
        <v>3254</v>
      </c>
      <c r="P106" s="104">
        <v>13.8</v>
      </c>
      <c r="Q106" s="225">
        <v>4803</v>
      </c>
      <c r="R106" s="233">
        <v>20.3</v>
      </c>
      <c r="S106" s="89">
        <v>643</v>
      </c>
      <c r="T106" s="104">
        <v>2.7</v>
      </c>
    </row>
    <row r="107" spans="2:20">
      <c r="B107" s="11" t="s">
        <v>414</v>
      </c>
      <c r="C107" s="89">
        <v>118</v>
      </c>
      <c r="D107" s="117">
        <v>27.4</v>
      </c>
      <c r="E107" s="89">
        <v>291</v>
      </c>
      <c r="F107" s="117">
        <v>67.5</v>
      </c>
      <c r="G107" s="89">
        <v>30</v>
      </c>
      <c r="H107" s="118">
        <v>7</v>
      </c>
      <c r="I107" s="225">
        <v>154</v>
      </c>
      <c r="J107" s="224">
        <v>35.700000000000003</v>
      </c>
      <c r="K107" s="89">
        <v>4</v>
      </c>
      <c r="L107" s="103" t="s">
        <v>292</v>
      </c>
      <c r="M107" s="89">
        <v>8</v>
      </c>
      <c r="N107" s="104">
        <v>1.9</v>
      </c>
      <c r="O107" s="89">
        <v>27</v>
      </c>
      <c r="P107" s="104">
        <v>6.3</v>
      </c>
      <c r="Q107" s="225">
        <v>64</v>
      </c>
      <c r="R107" s="233">
        <v>14.8</v>
      </c>
      <c r="S107" s="89">
        <v>16</v>
      </c>
      <c r="T107" s="104">
        <v>3.7</v>
      </c>
    </row>
    <row r="108" spans="2:20">
      <c r="B108" s="11" t="s">
        <v>415</v>
      </c>
      <c r="C108" s="89" t="s">
        <v>284</v>
      </c>
      <c r="D108" s="89" t="s">
        <v>284</v>
      </c>
      <c r="E108" s="89">
        <v>1</v>
      </c>
      <c r="F108" s="117">
        <v>100</v>
      </c>
      <c r="G108" s="89" t="s">
        <v>284</v>
      </c>
      <c r="H108" s="89" t="s">
        <v>284</v>
      </c>
      <c r="I108" s="89" t="s">
        <v>284</v>
      </c>
      <c r="J108" s="89" t="s">
        <v>284</v>
      </c>
      <c r="K108" s="90" t="s">
        <v>284</v>
      </c>
      <c r="L108" s="90" t="s">
        <v>284</v>
      </c>
      <c r="M108" s="89" t="s">
        <v>284</v>
      </c>
      <c r="N108" s="89" t="s">
        <v>284</v>
      </c>
      <c r="O108" s="89" t="s">
        <v>284</v>
      </c>
      <c r="P108" s="89" t="s">
        <v>284</v>
      </c>
      <c r="Q108" s="89" t="s">
        <v>284</v>
      </c>
      <c r="R108" s="89" t="s">
        <v>284</v>
      </c>
      <c r="S108" s="89" t="s">
        <v>284</v>
      </c>
      <c r="T108" s="89" t="s">
        <v>284</v>
      </c>
    </row>
    <row r="109" spans="2:20">
      <c r="B109" s="65"/>
      <c r="C109" s="93"/>
      <c r="D109" s="121"/>
      <c r="E109" s="93"/>
      <c r="F109" s="121"/>
      <c r="G109" s="93"/>
      <c r="H109" s="121"/>
      <c r="I109" s="226"/>
      <c r="J109" s="227"/>
      <c r="K109" s="93"/>
      <c r="L109" s="121"/>
      <c r="M109" s="65"/>
      <c r="N109" s="65"/>
      <c r="O109" s="65"/>
      <c r="P109" s="65"/>
      <c r="Q109" s="235"/>
      <c r="R109" s="235"/>
      <c r="S109" s="65"/>
      <c r="T109" s="65"/>
    </row>
    <row r="110" spans="2:20" ht="75.75" customHeight="1">
      <c r="B110" s="313" t="s">
        <v>428</v>
      </c>
      <c r="C110" s="299"/>
      <c r="D110" s="299"/>
      <c r="E110" s="299"/>
      <c r="F110" s="299"/>
      <c r="G110" s="299"/>
      <c r="H110" s="299"/>
      <c r="I110" s="299"/>
      <c r="J110" s="299"/>
      <c r="K110" s="299"/>
      <c r="L110" s="299"/>
      <c r="M110" s="299"/>
      <c r="N110" s="299"/>
      <c r="O110" s="299"/>
      <c r="P110" s="299"/>
      <c r="Q110" s="299"/>
      <c r="R110" s="299"/>
      <c r="S110" s="299"/>
      <c r="T110" s="299"/>
    </row>
    <row r="111" spans="2:20" ht="44.25" customHeight="1">
      <c r="B111" s="314" t="s">
        <v>427</v>
      </c>
      <c r="C111" s="301"/>
      <c r="D111" s="301"/>
      <c r="E111" s="301"/>
      <c r="F111" s="301"/>
      <c r="G111" s="301"/>
      <c r="H111" s="301"/>
      <c r="I111" s="301"/>
      <c r="J111" s="301"/>
      <c r="K111" s="301"/>
      <c r="L111" s="301"/>
      <c r="M111" s="301"/>
      <c r="N111" s="301"/>
      <c r="O111" s="301"/>
      <c r="P111" s="301"/>
      <c r="Q111" s="301"/>
      <c r="R111" s="301"/>
      <c r="S111" s="301"/>
      <c r="T111" s="301"/>
    </row>
    <row r="112" spans="2:20">
      <c r="B112" s="263" t="s">
        <v>610</v>
      </c>
      <c r="C112" s="263"/>
      <c r="D112" s="263"/>
      <c r="E112" s="263"/>
      <c r="F112" s="263"/>
      <c r="G112" s="263"/>
      <c r="H112" s="263"/>
      <c r="I112" s="263"/>
      <c r="J112" s="263"/>
      <c r="K112" s="263"/>
      <c r="L112" s="263"/>
    </row>
    <row r="113" spans="2:12">
      <c r="B113" s="14"/>
      <c r="C113" s="14"/>
      <c r="D113" s="14"/>
      <c r="E113" s="14"/>
      <c r="F113" s="14"/>
      <c r="G113" s="14"/>
      <c r="H113" s="14"/>
      <c r="I113" s="228"/>
      <c r="J113" s="228"/>
      <c r="K113" s="14"/>
      <c r="L113" s="14"/>
    </row>
  </sheetData>
  <mergeCells count="8">
    <mergeCell ref="B111:T111"/>
    <mergeCell ref="B5:B6"/>
    <mergeCell ref="C5:D5"/>
    <mergeCell ref="S5:T5"/>
    <mergeCell ref="M5:N5"/>
    <mergeCell ref="O5:P5"/>
    <mergeCell ref="Q5:R5"/>
    <mergeCell ref="B110:T110"/>
  </mergeCells>
  <phoneticPr fontId="10" type="noConversion"/>
  <pageMargins left="0.75" right="0.75" top="1" bottom="1" header="0.5" footer="0.5"/>
  <pageSetup scale="6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workbookViewId="0"/>
  </sheetViews>
  <sheetFormatPr defaultColWidth="9.6640625" defaultRowHeight="15"/>
  <cols>
    <col min="1" max="1" width="5.1640625" style="2" customWidth="1"/>
    <col min="2" max="2" width="20" style="2" customWidth="1"/>
    <col min="3" max="3" width="12" style="2" bestFit="1" customWidth="1"/>
    <col min="4" max="9" width="9.6640625" style="2" customWidth="1"/>
    <col min="10" max="14" width="10.5" style="2" bestFit="1" customWidth="1"/>
    <col min="15" max="16384" width="9.6640625" style="2"/>
  </cols>
  <sheetData>
    <row r="1" spans="1:16" ht="15.75">
      <c r="A1" s="1"/>
      <c r="B1" s="110"/>
    </row>
    <row r="2" spans="1:16">
      <c r="B2" s="4" t="s">
        <v>433</v>
      </c>
      <c r="C2" s="4"/>
      <c r="D2" s="4"/>
      <c r="E2" s="4"/>
      <c r="F2" s="4"/>
      <c r="G2" s="4"/>
      <c r="H2" s="4"/>
      <c r="I2" s="4"/>
      <c r="J2" s="4"/>
      <c r="K2" s="4"/>
      <c r="L2" s="4"/>
      <c r="M2" s="4"/>
      <c r="N2" s="4"/>
      <c r="O2" s="4"/>
      <c r="P2" s="4"/>
    </row>
    <row r="3" spans="1:16" ht="15.75">
      <c r="B3" s="62" t="s">
        <v>434</v>
      </c>
      <c r="C3" s="4"/>
      <c r="D3" s="4"/>
      <c r="E3" s="4"/>
      <c r="F3" s="4"/>
      <c r="G3" s="4"/>
      <c r="H3" s="4"/>
      <c r="I3" s="4"/>
      <c r="J3" s="4"/>
      <c r="K3" s="4"/>
      <c r="L3" s="4"/>
      <c r="M3" s="4"/>
      <c r="N3" s="4"/>
      <c r="O3" s="4"/>
      <c r="P3" s="4"/>
    </row>
    <row r="4" spans="1:16">
      <c r="B4" s="4" t="s">
        <v>567</v>
      </c>
      <c r="C4" s="4"/>
      <c r="D4" s="4"/>
      <c r="E4" s="4"/>
      <c r="F4" s="4"/>
      <c r="G4" s="4"/>
      <c r="H4" s="4"/>
      <c r="I4" s="4"/>
      <c r="J4" s="4"/>
      <c r="K4" s="4"/>
      <c r="L4" s="4"/>
      <c r="M4" s="4"/>
      <c r="N4" s="4"/>
      <c r="O4" s="4"/>
      <c r="P4" s="4"/>
    </row>
    <row r="5" spans="1:16">
      <c r="B5" s="302" t="s">
        <v>324</v>
      </c>
      <c r="C5" s="302" t="s">
        <v>435</v>
      </c>
      <c r="D5" s="40" t="s">
        <v>264</v>
      </c>
      <c r="E5" s="40"/>
      <c r="F5" s="41"/>
      <c r="G5" s="40"/>
      <c r="H5" s="41"/>
      <c r="I5" s="40"/>
      <c r="J5" s="41"/>
      <c r="K5" s="40"/>
      <c r="L5" s="41"/>
      <c r="M5" s="40"/>
      <c r="N5" s="41"/>
      <c r="O5" s="40"/>
      <c r="P5" s="41"/>
    </row>
    <row r="6" spans="1:16" ht="30.75" customHeight="1">
      <c r="B6" s="292"/>
      <c r="C6" s="292"/>
      <c r="D6" s="129" t="s">
        <v>436</v>
      </c>
      <c r="E6" s="130">
        <v>15</v>
      </c>
      <c r="F6" s="32">
        <v>16</v>
      </c>
      <c r="G6" s="32">
        <v>17</v>
      </c>
      <c r="H6" s="32">
        <v>18</v>
      </c>
      <c r="I6" s="32">
        <v>19</v>
      </c>
      <c r="J6" s="130" t="s">
        <v>266</v>
      </c>
      <c r="K6" s="32" t="s">
        <v>267</v>
      </c>
      <c r="L6" s="130" t="s">
        <v>268</v>
      </c>
      <c r="M6" s="130" t="s">
        <v>269</v>
      </c>
      <c r="N6" s="130" t="s">
        <v>270</v>
      </c>
      <c r="O6" s="130" t="s">
        <v>437</v>
      </c>
      <c r="P6" s="75" t="s">
        <v>298</v>
      </c>
    </row>
    <row r="7" spans="1:16" ht="20.100000000000001" customHeight="1">
      <c r="B7" s="97" t="s">
        <v>156</v>
      </c>
      <c r="C7" s="78">
        <f>SUM(D7:I7,K7:P7)</f>
        <v>113732</v>
      </c>
      <c r="D7" s="78">
        <f t="shared" ref="D7:P7" si="0">SUM(D9:D108)</f>
        <v>74</v>
      </c>
      <c r="E7" s="78">
        <f t="shared" si="0"/>
        <v>251</v>
      </c>
      <c r="F7" s="78">
        <f t="shared" si="0"/>
        <v>626</v>
      </c>
      <c r="G7" s="78">
        <f t="shared" si="0"/>
        <v>1220</v>
      </c>
      <c r="H7" s="78">
        <f t="shared" si="0"/>
        <v>2196</v>
      </c>
      <c r="I7" s="78">
        <f t="shared" si="0"/>
        <v>3577</v>
      </c>
      <c r="J7" s="78">
        <f t="shared" si="0"/>
        <v>7870</v>
      </c>
      <c r="K7" s="78">
        <f t="shared" si="0"/>
        <v>27666</v>
      </c>
      <c r="L7" s="78">
        <f t="shared" si="0"/>
        <v>33882</v>
      </c>
      <c r="M7" s="78">
        <f t="shared" si="0"/>
        <v>29309</v>
      </c>
      <c r="N7" s="78">
        <f t="shared" si="0"/>
        <v>12106</v>
      </c>
      <c r="O7" s="78">
        <f t="shared" si="0"/>
        <v>2820</v>
      </c>
      <c r="P7" s="78">
        <f t="shared" si="0"/>
        <v>5</v>
      </c>
    </row>
    <row r="8" spans="1:16">
      <c r="B8" s="83"/>
      <c r="C8" s="49"/>
      <c r="D8" s="49"/>
      <c r="E8" s="49"/>
      <c r="F8" s="49"/>
      <c r="G8" s="49"/>
      <c r="H8" s="49"/>
      <c r="I8" s="49"/>
      <c r="J8" s="49"/>
      <c r="K8" s="49"/>
      <c r="L8" s="49"/>
      <c r="M8" s="49"/>
      <c r="N8" s="49"/>
      <c r="O8" s="49"/>
      <c r="P8" s="49"/>
    </row>
    <row r="9" spans="1:16" ht="15" customHeight="1">
      <c r="B9" s="88" t="s">
        <v>332</v>
      </c>
      <c r="C9" s="49">
        <f>SUM(D9:I9,K9:P9)</f>
        <v>59</v>
      </c>
      <c r="D9" s="89" t="s">
        <v>284</v>
      </c>
      <c r="E9" s="89">
        <v>1</v>
      </c>
      <c r="F9" s="89" t="s">
        <v>284</v>
      </c>
      <c r="G9" s="89" t="s">
        <v>284</v>
      </c>
      <c r="H9" s="49">
        <v>2</v>
      </c>
      <c r="I9" s="49">
        <v>5</v>
      </c>
      <c r="J9" s="49">
        <f>SUM(E9:I9)</f>
        <v>8</v>
      </c>
      <c r="K9" s="49">
        <v>15</v>
      </c>
      <c r="L9" s="49">
        <v>13</v>
      </c>
      <c r="M9" s="49">
        <v>16</v>
      </c>
      <c r="N9" s="49">
        <v>7</v>
      </c>
      <c r="O9" s="90" t="s">
        <v>284</v>
      </c>
      <c r="P9" s="90" t="s">
        <v>284</v>
      </c>
    </row>
    <row r="10" spans="1:16" ht="15" customHeight="1">
      <c r="B10" s="88" t="s">
        <v>333</v>
      </c>
      <c r="C10" s="49">
        <f t="shared" ref="C10:C73" si="1">SUM(D10:I10,K10:P10)</f>
        <v>71</v>
      </c>
      <c r="D10" s="89" t="s">
        <v>284</v>
      </c>
      <c r="E10" s="89" t="s">
        <v>284</v>
      </c>
      <c r="F10" s="89" t="s">
        <v>284</v>
      </c>
      <c r="G10" s="89">
        <v>1</v>
      </c>
      <c r="H10" s="49">
        <v>1</v>
      </c>
      <c r="I10" s="49">
        <v>1</v>
      </c>
      <c r="J10" s="49">
        <f t="shared" ref="J10:J73" si="2">SUM(E10:I10)</f>
        <v>3</v>
      </c>
      <c r="K10" s="49">
        <v>19</v>
      </c>
      <c r="L10" s="49">
        <v>27</v>
      </c>
      <c r="M10" s="49">
        <v>15</v>
      </c>
      <c r="N10" s="49">
        <v>5</v>
      </c>
      <c r="O10" s="90">
        <v>2</v>
      </c>
      <c r="P10" s="90" t="s">
        <v>284</v>
      </c>
    </row>
    <row r="11" spans="1:16" ht="15" customHeight="1">
      <c r="B11" s="88" t="s">
        <v>334</v>
      </c>
      <c r="C11" s="49">
        <f t="shared" si="1"/>
        <v>1299</v>
      </c>
      <c r="D11" s="89" t="s">
        <v>284</v>
      </c>
      <c r="E11" s="89">
        <v>2</v>
      </c>
      <c r="F11" s="89">
        <v>7</v>
      </c>
      <c r="G11" s="89">
        <v>17</v>
      </c>
      <c r="H11" s="49">
        <v>28</v>
      </c>
      <c r="I11" s="49">
        <v>46</v>
      </c>
      <c r="J11" s="49">
        <f t="shared" si="2"/>
        <v>100</v>
      </c>
      <c r="K11" s="49">
        <v>315</v>
      </c>
      <c r="L11" s="49">
        <v>432</v>
      </c>
      <c r="M11" s="49">
        <v>348</v>
      </c>
      <c r="N11" s="49">
        <v>87</v>
      </c>
      <c r="O11" s="90">
        <v>17</v>
      </c>
      <c r="P11" s="90" t="s">
        <v>284</v>
      </c>
    </row>
    <row r="12" spans="1:16" ht="15" customHeight="1">
      <c r="B12" s="88" t="s">
        <v>335</v>
      </c>
      <c r="C12" s="49">
        <f t="shared" si="1"/>
        <v>263</v>
      </c>
      <c r="D12" s="89" t="s">
        <v>284</v>
      </c>
      <c r="E12" s="90">
        <v>1</v>
      </c>
      <c r="F12" s="90" t="s">
        <v>426</v>
      </c>
      <c r="G12" s="89">
        <v>5</v>
      </c>
      <c r="H12" s="49">
        <v>5</v>
      </c>
      <c r="I12" s="49">
        <v>5</v>
      </c>
      <c r="J12" s="49">
        <f t="shared" si="2"/>
        <v>16</v>
      </c>
      <c r="K12" s="49">
        <v>81</v>
      </c>
      <c r="L12" s="49">
        <v>79</v>
      </c>
      <c r="M12" s="49">
        <v>65</v>
      </c>
      <c r="N12" s="49">
        <v>18</v>
      </c>
      <c r="O12" s="90">
        <v>4</v>
      </c>
      <c r="P12" s="90" t="s">
        <v>284</v>
      </c>
    </row>
    <row r="13" spans="1:16" ht="15" customHeight="1">
      <c r="B13" s="88" t="s">
        <v>336</v>
      </c>
      <c r="C13" s="49">
        <f t="shared" si="1"/>
        <v>197</v>
      </c>
      <c r="D13" s="89" t="s">
        <v>284</v>
      </c>
      <c r="E13" s="89" t="s">
        <v>284</v>
      </c>
      <c r="F13" s="89">
        <v>2</v>
      </c>
      <c r="G13" s="89">
        <v>2</v>
      </c>
      <c r="H13" s="49">
        <v>2</v>
      </c>
      <c r="I13" s="49">
        <v>9</v>
      </c>
      <c r="J13" s="49">
        <f t="shared" si="2"/>
        <v>15</v>
      </c>
      <c r="K13" s="49">
        <v>62</v>
      </c>
      <c r="L13" s="49">
        <v>62</v>
      </c>
      <c r="M13" s="49">
        <v>36</v>
      </c>
      <c r="N13" s="49">
        <v>18</v>
      </c>
      <c r="O13" s="90">
        <v>4</v>
      </c>
      <c r="P13" s="90" t="s">
        <v>284</v>
      </c>
    </row>
    <row r="14" spans="1:16" ht="12.75" customHeight="1">
      <c r="B14" s="88"/>
      <c r="C14" s="49"/>
      <c r="D14" s="89"/>
      <c r="E14" s="89"/>
      <c r="F14" s="89"/>
      <c r="G14" s="89"/>
      <c r="H14" s="49"/>
      <c r="I14" s="49"/>
      <c r="J14" s="49"/>
      <c r="K14" s="49"/>
      <c r="L14" s="49"/>
      <c r="M14" s="49"/>
      <c r="N14" s="49"/>
      <c r="O14" s="49"/>
      <c r="P14" s="90"/>
    </row>
    <row r="15" spans="1:16" ht="15" customHeight="1">
      <c r="B15" s="88" t="s">
        <v>337</v>
      </c>
      <c r="C15" s="49">
        <f t="shared" si="1"/>
        <v>110</v>
      </c>
      <c r="D15" s="89" t="s">
        <v>284</v>
      </c>
      <c r="E15" s="89">
        <v>1</v>
      </c>
      <c r="F15" s="89" t="s">
        <v>284</v>
      </c>
      <c r="G15" s="89">
        <v>3</v>
      </c>
      <c r="H15" s="49">
        <v>3</v>
      </c>
      <c r="I15" s="49">
        <v>3</v>
      </c>
      <c r="J15" s="49">
        <f t="shared" si="2"/>
        <v>10</v>
      </c>
      <c r="K15" s="49">
        <v>25</v>
      </c>
      <c r="L15" s="49">
        <v>32</v>
      </c>
      <c r="M15" s="49">
        <v>30</v>
      </c>
      <c r="N15" s="49">
        <v>10</v>
      </c>
      <c r="O15" s="90">
        <v>3</v>
      </c>
      <c r="P15" s="90" t="s">
        <v>284</v>
      </c>
    </row>
    <row r="16" spans="1:16" ht="15" customHeight="1">
      <c r="B16" s="88" t="s">
        <v>338</v>
      </c>
      <c r="C16" s="49">
        <f t="shared" si="1"/>
        <v>79</v>
      </c>
      <c r="D16" s="89" t="s">
        <v>284</v>
      </c>
      <c r="E16" s="89" t="s">
        <v>284</v>
      </c>
      <c r="F16" s="89" t="s">
        <v>284</v>
      </c>
      <c r="G16" s="89">
        <v>1</v>
      </c>
      <c r="H16" s="49">
        <v>1</v>
      </c>
      <c r="I16" s="49">
        <v>1</v>
      </c>
      <c r="J16" s="49">
        <f t="shared" si="2"/>
        <v>3</v>
      </c>
      <c r="K16" s="49">
        <v>33</v>
      </c>
      <c r="L16" s="49">
        <v>19</v>
      </c>
      <c r="M16" s="49">
        <v>13</v>
      </c>
      <c r="N16" s="49">
        <v>8</v>
      </c>
      <c r="O16" s="90">
        <v>3</v>
      </c>
      <c r="P16" s="90" t="s">
        <v>284</v>
      </c>
    </row>
    <row r="17" spans="2:16" ht="15" customHeight="1">
      <c r="B17" s="88" t="s">
        <v>339</v>
      </c>
      <c r="C17" s="49">
        <f t="shared" si="1"/>
        <v>580</v>
      </c>
      <c r="D17" s="89" t="s">
        <v>284</v>
      </c>
      <c r="E17" s="89">
        <v>1</v>
      </c>
      <c r="F17" s="89">
        <v>1</v>
      </c>
      <c r="G17" s="89">
        <v>2</v>
      </c>
      <c r="H17" s="49">
        <v>8</v>
      </c>
      <c r="I17" s="49">
        <v>14</v>
      </c>
      <c r="J17" s="49">
        <f t="shared" si="2"/>
        <v>26</v>
      </c>
      <c r="K17" s="49">
        <v>144</v>
      </c>
      <c r="L17" s="49">
        <v>223</v>
      </c>
      <c r="M17" s="49">
        <v>117</v>
      </c>
      <c r="N17" s="49">
        <v>61</v>
      </c>
      <c r="O17" s="90">
        <v>9</v>
      </c>
      <c r="P17" s="90" t="s">
        <v>284</v>
      </c>
    </row>
    <row r="18" spans="2:16" ht="15" customHeight="1">
      <c r="B18" s="88" t="s">
        <v>340</v>
      </c>
      <c r="C18" s="49">
        <f t="shared" si="1"/>
        <v>1042</v>
      </c>
      <c r="D18" s="89" t="s">
        <v>284</v>
      </c>
      <c r="E18" s="89">
        <v>3</v>
      </c>
      <c r="F18" s="89">
        <v>3</v>
      </c>
      <c r="G18" s="89">
        <v>14</v>
      </c>
      <c r="H18" s="49">
        <v>24</v>
      </c>
      <c r="I18" s="49">
        <v>34</v>
      </c>
      <c r="J18" s="49">
        <f t="shared" si="2"/>
        <v>78</v>
      </c>
      <c r="K18" s="49">
        <v>257</v>
      </c>
      <c r="L18" s="49">
        <v>338</v>
      </c>
      <c r="M18" s="49">
        <v>261</v>
      </c>
      <c r="N18" s="49">
        <v>93</v>
      </c>
      <c r="O18" s="90">
        <v>15</v>
      </c>
      <c r="P18" s="90" t="s">
        <v>284</v>
      </c>
    </row>
    <row r="19" spans="2:16" ht="15" customHeight="1">
      <c r="B19" s="88" t="s">
        <v>341</v>
      </c>
      <c r="C19" s="49">
        <f t="shared" si="1"/>
        <v>156</v>
      </c>
      <c r="D19" s="89" t="s">
        <v>284</v>
      </c>
      <c r="E19" s="89">
        <v>1</v>
      </c>
      <c r="F19" s="89" t="s">
        <v>284</v>
      </c>
      <c r="G19" s="89">
        <v>1</v>
      </c>
      <c r="H19" s="49">
        <v>2</v>
      </c>
      <c r="I19" s="49">
        <v>4</v>
      </c>
      <c r="J19" s="49">
        <f t="shared" si="2"/>
        <v>8</v>
      </c>
      <c r="K19" s="49">
        <v>42</v>
      </c>
      <c r="L19" s="49">
        <v>59</v>
      </c>
      <c r="M19" s="49">
        <v>28</v>
      </c>
      <c r="N19" s="49">
        <v>13</v>
      </c>
      <c r="O19" s="90">
        <v>6</v>
      </c>
      <c r="P19" s="90" t="s">
        <v>284</v>
      </c>
    </row>
    <row r="20" spans="2:16" ht="12.75" customHeight="1">
      <c r="B20" s="83"/>
      <c r="C20" s="49"/>
      <c r="D20" s="89"/>
      <c r="E20" s="89"/>
      <c r="F20" s="89"/>
      <c r="G20" s="89"/>
      <c r="H20" s="49"/>
      <c r="I20" s="49"/>
      <c r="J20" s="49"/>
      <c r="K20" s="49"/>
      <c r="L20" s="49"/>
      <c r="M20" s="49"/>
      <c r="N20" s="49"/>
      <c r="O20" s="49"/>
      <c r="P20" s="90"/>
    </row>
    <row r="21" spans="2:16" ht="15" customHeight="1">
      <c r="B21" s="88" t="s">
        <v>342</v>
      </c>
      <c r="C21" s="49">
        <f t="shared" si="1"/>
        <v>1896</v>
      </c>
      <c r="D21" s="89">
        <v>2</v>
      </c>
      <c r="E21" s="89">
        <v>4</v>
      </c>
      <c r="F21" s="89">
        <v>15</v>
      </c>
      <c r="G21" s="89">
        <v>27</v>
      </c>
      <c r="H21" s="49">
        <v>51</v>
      </c>
      <c r="I21" s="49">
        <v>81</v>
      </c>
      <c r="J21" s="49">
        <f t="shared" si="2"/>
        <v>178</v>
      </c>
      <c r="K21" s="49">
        <v>519</v>
      </c>
      <c r="L21" s="49">
        <v>534</v>
      </c>
      <c r="M21" s="49">
        <v>461</v>
      </c>
      <c r="N21" s="49">
        <v>160</v>
      </c>
      <c r="O21" s="90">
        <v>42</v>
      </c>
      <c r="P21" s="90" t="s">
        <v>284</v>
      </c>
    </row>
    <row r="22" spans="2:16" ht="15" customHeight="1">
      <c r="B22" s="88" t="s">
        <v>343</v>
      </c>
      <c r="C22" s="49">
        <f t="shared" si="1"/>
        <v>567</v>
      </c>
      <c r="D22" s="89" t="s">
        <v>284</v>
      </c>
      <c r="E22" s="89">
        <v>1</v>
      </c>
      <c r="F22" s="89">
        <v>3</v>
      </c>
      <c r="G22" s="89">
        <v>12</v>
      </c>
      <c r="H22" s="49">
        <v>14</v>
      </c>
      <c r="I22" s="49">
        <v>27</v>
      </c>
      <c r="J22" s="49">
        <f t="shared" si="2"/>
        <v>57</v>
      </c>
      <c r="K22" s="49">
        <v>166</v>
      </c>
      <c r="L22" s="49">
        <v>183</v>
      </c>
      <c r="M22" s="49">
        <v>100</v>
      </c>
      <c r="N22" s="49">
        <v>42</v>
      </c>
      <c r="O22" s="90">
        <v>19</v>
      </c>
      <c r="P22" s="90" t="s">
        <v>284</v>
      </c>
    </row>
    <row r="23" spans="2:16" ht="15" customHeight="1">
      <c r="B23" s="88" t="s">
        <v>344</v>
      </c>
      <c r="C23" s="49">
        <f t="shared" si="1"/>
        <v>1697</v>
      </c>
      <c r="D23" s="89">
        <v>1</v>
      </c>
      <c r="E23" s="89">
        <v>14</v>
      </c>
      <c r="F23" s="89">
        <v>14</v>
      </c>
      <c r="G23" s="89">
        <v>27</v>
      </c>
      <c r="H23" s="49">
        <v>43</v>
      </c>
      <c r="I23" s="49">
        <v>84</v>
      </c>
      <c r="J23" s="49">
        <f t="shared" si="2"/>
        <v>182</v>
      </c>
      <c r="K23" s="49">
        <v>511</v>
      </c>
      <c r="L23" s="49">
        <v>499</v>
      </c>
      <c r="M23" s="49">
        <v>343</v>
      </c>
      <c r="N23" s="49">
        <v>133</v>
      </c>
      <c r="O23" s="90">
        <v>28</v>
      </c>
      <c r="P23" s="90" t="s">
        <v>284</v>
      </c>
    </row>
    <row r="24" spans="2:16" ht="15" customHeight="1">
      <c r="B24" s="88" t="s">
        <v>345</v>
      </c>
      <c r="C24" s="49">
        <f t="shared" si="1"/>
        <v>470</v>
      </c>
      <c r="D24" s="89" t="s">
        <v>284</v>
      </c>
      <c r="E24" s="89" t="s">
        <v>284</v>
      </c>
      <c r="F24" s="89">
        <v>4</v>
      </c>
      <c r="G24" s="89">
        <v>4</v>
      </c>
      <c r="H24" s="49">
        <v>16</v>
      </c>
      <c r="I24" s="49">
        <v>22</v>
      </c>
      <c r="J24" s="49">
        <f t="shared" si="2"/>
        <v>46</v>
      </c>
      <c r="K24" s="49">
        <v>160</v>
      </c>
      <c r="L24" s="49">
        <v>130</v>
      </c>
      <c r="M24" s="49">
        <v>92</v>
      </c>
      <c r="N24" s="49">
        <v>38</v>
      </c>
      <c r="O24" s="90">
        <v>4</v>
      </c>
      <c r="P24" s="90" t="s">
        <v>284</v>
      </c>
    </row>
    <row r="25" spans="2:16" ht="15" customHeight="1">
      <c r="B25" s="88" t="s">
        <v>346</v>
      </c>
      <c r="C25" s="49">
        <f t="shared" si="1"/>
        <v>227</v>
      </c>
      <c r="D25" s="89" t="s">
        <v>284</v>
      </c>
      <c r="E25" s="89" t="s">
        <v>284</v>
      </c>
      <c r="F25" s="89" t="s">
        <v>284</v>
      </c>
      <c r="G25" s="89">
        <v>2</v>
      </c>
      <c r="H25" s="49">
        <v>5</v>
      </c>
      <c r="I25" s="49">
        <v>6</v>
      </c>
      <c r="J25" s="49">
        <f t="shared" si="2"/>
        <v>13</v>
      </c>
      <c r="K25" s="49">
        <v>61</v>
      </c>
      <c r="L25" s="49">
        <v>76</v>
      </c>
      <c r="M25" s="49">
        <v>51</v>
      </c>
      <c r="N25" s="49">
        <v>22</v>
      </c>
      <c r="O25" s="90">
        <v>4</v>
      </c>
      <c r="P25" s="90" t="s">
        <v>284</v>
      </c>
    </row>
    <row r="26" spans="2:16" ht="12.75" customHeight="1">
      <c r="B26" s="88"/>
      <c r="C26" s="49"/>
      <c r="D26" s="89"/>
      <c r="E26" s="89"/>
      <c r="F26" s="89"/>
      <c r="G26" s="89"/>
      <c r="H26" s="49"/>
      <c r="I26" s="49"/>
      <c r="J26" s="49"/>
      <c r="K26" s="49"/>
      <c r="L26" s="49"/>
      <c r="M26" s="49"/>
      <c r="N26" s="49"/>
      <c r="O26" s="49"/>
      <c r="P26" s="90"/>
    </row>
    <row r="27" spans="2:16" ht="15" customHeight="1">
      <c r="B27" s="88" t="s">
        <v>347</v>
      </c>
      <c r="C27" s="49">
        <f t="shared" si="1"/>
        <v>192</v>
      </c>
      <c r="D27" s="89" t="s">
        <v>284</v>
      </c>
      <c r="E27" s="89" t="s">
        <v>284</v>
      </c>
      <c r="F27" s="89" t="s">
        <v>284</v>
      </c>
      <c r="G27" s="89">
        <v>1</v>
      </c>
      <c r="H27" s="49">
        <v>7</v>
      </c>
      <c r="I27" s="49">
        <v>16</v>
      </c>
      <c r="J27" s="49">
        <f t="shared" si="2"/>
        <v>24</v>
      </c>
      <c r="K27" s="49">
        <v>60</v>
      </c>
      <c r="L27" s="49">
        <v>45</v>
      </c>
      <c r="M27" s="49">
        <v>40</v>
      </c>
      <c r="N27" s="49">
        <v>16</v>
      </c>
      <c r="O27" s="90">
        <v>7</v>
      </c>
      <c r="P27" s="90" t="s">
        <v>284</v>
      </c>
    </row>
    <row r="28" spans="2:16" ht="15" customHeight="1">
      <c r="B28" s="88" t="s">
        <v>348</v>
      </c>
      <c r="C28" s="49">
        <f t="shared" si="1"/>
        <v>339</v>
      </c>
      <c r="D28" s="89" t="s">
        <v>284</v>
      </c>
      <c r="E28" s="89" t="s">
        <v>284</v>
      </c>
      <c r="F28" s="89">
        <v>1</v>
      </c>
      <c r="G28" s="89">
        <v>10</v>
      </c>
      <c r="H28" s="49">
        <v>12</v>
      </c>
      <c r="I28" s="49">
        <v>11</v>
      </c>
      <c r="J28" s="49">
        <f t="shared" si="2"/>
        <v>34</v>
      </c>
      <c r="K28" s="49">
        <v>94</v>
      </c>
      <c r="L28" s="49">
        <v>103</v>
      </c>
      <c r="M28" s="49">
        <v>57</v>
      </c>
      <c r="N28" s="49">
        <v>38</v>
      </c>
      <c r="O28" s="90">
        <v>13</v>
      </c>
      <c r="P28" s="90" t="s">
        <v>284</v>
      </c>
    </row>
    <row r="29" spans="2:16" ht="15" customHeight="1">
      <c r="B29" s="88" t="s">
        <v>349</v>
      </c>
      <c r="C29" s="49">
        <f t="shared" si="1"/>
        <v>300</v>
      </c>
      <c r="D29" s="89" t="s">
        <v>284</v>
      </c>
      <c r="E29" s="90">
        <v>1</v>
      </c>
      <c r="F29" s="89">
        <v>1</v>
      </c>
      <c r="G29" s="89">
        <v>5</v>
      </c>
      <c r="H29" s="49">
        <v>12</v>
      </c>
      <c r="I29" s="49">
        <v>11</v>
      </c>
      <c r="J29" s="49">
        <f t="shared" si="2"/>
        <v>30</v>
      </c>
      <c r="K29" s="49">
        <v>111</v>
      </c>
      <c r="L29" s="49">
        <v>89</v>
      </c>
      <c r="M29" s="49">
        <v>42</v>
      </c>
      <c r="N29" s="49">
        <v>23</v>
      </c>
      <c r="O29" s="90">
        <v>5</v>
      </c>
      <c r="P29" s="90" t="s">
        <v>284</v>
      </c>
    </row>
    <row r="30" spans="2:16" ht="15" customHeight="1">
      <c r="B30" s="88" t="s">
        <v>350</v>
      </c>
      <c r="C30" s="49">
        <f t="shared" si="1"/>
        <v>803</v>
      </c>
      <c r="D30" s="89" t="s">
        <v>284</v>
      </c>
      <c r="E30" s="89">
        <v>2</v>
      </c>
      <c r="F30" s="89">
        <v>4</v>
      </c>
      <c r="G30" s="89">
        <v>6</v>
      </c>
      <c r="H30" s="49">
        <v>10</v>
      </c>
      <c r="I30" s="49">
        <v>15</v>
      </c>
      <c r="J30" s="49">
        <f t="shared" si="2"/>
        <v>37</v>
      </c>
      <c r="K30" s="49">
        <v>145</v>
      </c>
      <c r="L30" s="49">
        <v>276</v>
      </c>
      <c r="M30" s="49">
        <v>241</v>
      </c>
      <c r="N30" s="49">
        <v>87</v>
      </c>
      <c r="O30" s="90">
        <v>17</v>
      </c>
      <c r="P30" s="90" t="s">
        <v>284</v>
      </c>
    </row>
    <row r="31" spans="2:16" ht="15" customHeight="1">
      <c r="B31" s="88" t="s">
        <v>351</v>
      </c>
      <c r="C31" s="49">
        <f t="shared" si="1"/>
        <v>110</v>
      </c>
      <c r="D31" s="89" t="s">
        <v>284</v>
      </c>
      <c r="E31" s="89" t="s">
        <v>284</v>
      </c>
      <c r="F31" s="89" t="s">
        <v>284</v>
      </c>
      <c r="G31" s="89" t="s">
        <v>284</v>
      </c>
      <c r="H31" s="49">
        <v>1</v>
      </c>
      <c r="I31" s="49">
        <v>6</v>
      </c>
      <c r="J31" s="49">
        <f t="shared" si="2"/>
        <v>7</v>
      </c>
      <c r="K31" s="49">
        <v>47</v>
      </c>
      <c r="L31" s="49">
        <v>35</v>
      </c>
      <c r="M31" s="49">
        <v>20</v>
      </c>
      <c r="N31" s="49">
        <v>1</v>
      </c>
      <c r="O31" s="90" t="s">
        <v>284</v>
      </c>
      <c r="P31" s="90" t="s">
        <v>284</v>
      </c>
    </row>
    <row r="32" spans="2:16" ht="12.75" customHeight="1">
      <c r="B32" s="83"/>
      <c r="C32" s="49"/>
      <c r="D32" s="89"/>
      <c r="E32" s="89"/>
      <c r="F32" s="89"/>
      <c r="G32" s="89"/>
      <c r="H32" s="49"/>
      <c r="I32" s="49"/>
      <c r="J32" s="49"/>
      <c r="K32" s="49"/>
      <c r="L32" s="49"/>
      <c r="M32" s="49"/>
      <c r="N32" s="49"/>
      <c r="O32" s="49"/>
      <c r="P32" s="90"/>
    </row>
    <row r="33" spans="2:16" ht="15" customHeight="1">
      <c r="B33" s="88" t="s">
        <v>352</v>
      </c>
      <c r="C33" s="49">
        <f t="shared" si="1"/>
        <v>354</v>
      </c>
      <c r="D33" s="89" t="s">
        <v>284</v>
      </c>
      <c r="E33" s="89">
        <v>1</v>
      </c>
      <c r="F33" s="90">
        <v>2</v>
      </c>
      <c r="G33" s="89">
        <v>3</v>
      </c>
      <c r="H33" s="49">
        <v>6</v>
      </c>
      <c r="I33" s="49">
        <v>13</v>
      </c>
      <c r="J33" s="49">
        <f t="shared" si="2"/>
        <v>25</v>
      </c>
      <c r="K33" s="49">
        <v>83</v>
      </c>
      <c r="L33" s="49">
        <v>120</v>
      </c>
      <c r="M33" s="49">
        <v>86</v>
      </c>
      <c r="N33" s="49">
        <v>32</v>
      </c>
      <c r="O33" s="90">
        <v>8</v>
      </c>
      <c r="P33" s="90" t="s">
        <v>284</v>
      </c>
    </row>
    <row r="34" spans="2:16" ht="15" customHeight="1">
      <c r="B34" s="88" t="s">
        <v>353</v>
      </c>
      <c r="C34" s="49">
        <f t="shared" si="1"/>
        <v>276</v>
      </c>
      <c r="D34" s="89" t="s">
        <v>284</v>
      </c>
      <c r="E34" s="89">
        <v>1</v>
      </c>
      <c r="F34" s="89" t="s">
        <v>284</v>
      </c>
      <c r="G34" s="89">
        <v>3</v>
      </c>
      <c r="H34" s="49">
        <v>4</v>
      </c>
      <c r="I34" s="49">
        <v>9</v>
      </c>
      <c r="J34" s="49">
        <f t="shared" si="2"/>
        <v>17</v>
      </c>
      <c r="K34" s="49">
        <v>85</v>
      </c>
      <c r="L34" s="49">
        <v>95</v>
      </c>
      <c r="M34" s="49">
        <v>53</v>
      </c>
      <c r="N34" s="49">
        <v>23</v>
      </c>
      <c r="O34" s="90">
        <v>3</v>
      </c>
      <c r="P34" s="90" t="s">
        <v>284</v>
      </c>
    </row>
    <row r="35" spans="2:16" ht="15" customHeight="1">
      <c r="B35" s="88" t="s">
        <v>354</v>
      </c>
      <c r="C35" s="49">
        <f t="shared" si="1"/>
        <v>1119</v>
      </c>
      <c r="D35" s="89" t="s">
        <v>284</v>
      </c>
      <c r="E35" s="89">
        <v>2</v>
      </c>
      <c r="F35" s="89">
        <v>5</v>
      </c>
      <c r="G35" s="89">
        <v>6</v>
      </c>
      <c r="H35" s="49">
        <v>11</v>
      </c>
      <c r="I35" s="49">
        <v>33</v>
      </c>
      <c r="J35" s="49">
        <f t="shared" si="2"/>
        <v>57</v>
      </c>
      <c r="K35" s="49">
        <v>270</v>
      </c>
      <c r="L35" s="49">
        <v>390</v>
      </c>
      <c r="M35" s="49">
        <v>281</v>
      </c>
      <c r="N35" s="49">
        <v>106</v>
      </c>
      <c r="O35" s="90">
        <v>15</v>
      </c>
      <c r="P35" s="90" t="s">
        <v>284</v>
      </c>
    </row>
    <row r="36" spans="2:16" ht="15" customHeight="1">
      <c r="B36" s="88" t="s">
        <v>355</v>
      </c>
      <c r="C36" s="49">
        <f t="shared" si="1"/>
        <v>297</v>
      </c>
      <c r="D36" s="89" t="s">
        <v>284</v>
      </c>
      <c r="E36" s="89">
        <v>2</v>
      </c>
      <c r="F36" s="89" t="s">
        <v>284</v>
      </c>
      <c r="G36" s="89">
        <v>3</v>
      </c>
      <c r="H36" s="49">
        <v>5</v>
      </c>
      <c r="I36" s="49">
        <v>5</v>
      </c>
      <c r="J36" s="49">
        <f t="shared" si="2"/>
        <v>15</v>
      </c>
      <c r="K36" s="49">
        <v>78</v>
      </c>
      <c r="L36" s="49">
        <v>90</v>
      </c>
      <c r="M36" s="49">
        <v>70</v>
      </c>
      <c r="N36" s="49">
        <v>38</v>
      </c>
      <c r="O36" s="90">
        <v>6</v>
      </c>
      <c r="P36" s="90" t="s">
        <v>284</v>
      </c>
    </row>
    <row r="37" spans="2:16" ht="15" customHeight="1">
      <c r="B37" s="88" t="s">
        <v>356</v>
      </c>
      <c r="C37" s="49">
        <f t="shared" si="1"/>
        <v>5019</v>
      </c>
      <c r="D37" s="89">
        <v>5</v>
      </c>
      <c r="E37" s="89">
        <v>17</v>
      </c>
      <c r="F37" s="89">
        <v>46</v>
      </c>
      <c r="G37" s="89">
        <v>80</v>
      </c>
      <c r="H37" s="49">
        <v>124</v>
      </c>
      <c r="I37" s="49">
        <v>213</v>
      </c>
      <c r="J37" s="49">
        <f t="shared" si="2"/>
        <v>480</v>
      </c>
      <c r="K37" s="49">
        <v>1623</v>
      </c>
      <c r="L37" s="49">
        <v>1415</v>
      </c>
      <c r="M37" s="49">
        <v>1018</v>
      </c>
      <c r="N37" s="49">
        <v>389</v>
      </c>
      <c r="O37" s="90">
        <v>89</v>
      </c>
      <c r="P37" s="90" t="s">
        <v>284</v>
      </c>
    </row>
    <row r="38" spans="2:16" ht="12.75" customHeight="1">
      <c r="B38" s="88"/>
      <c r="C38" s="49"/>
      <c r="D38" s="89"/>
      <c r="E38" s="89"/>
      <c r="F38" s="89"/>
      <c r="G38" s="89"/>
      <c r="H38" s="49"/>
      <c r="I38" s="49"/>
      <c r="J38" s="49"/>
      <c r="K38" s="49"/>
      <c r="L38" s="49"/>
      <c r="M38" s="49"/>
      <c r="N38" s="49"/>
      <c r="O38" s="49"/>
      <c r="P38" s="90"/>
    </row>
    <row r="39" spans="2:16" ht="15" customHeight="1">
      <c r="B39" s="88" t="s">
        <v>357</v>
      </c>
      <c r="C39" s="49">
        <f t="shared" si="1"/>
        <v>249</v>
      </c>
      <c r="D39" s="89">
        <v>1</v>
      </c>
      <c r="E39" s="89" t="s">
        <v>284</v>
      </c>
      <c r="F39" s="89" t="s">
        <v>284</v>
      </c>
      <c r="G39" s="89">
        <v>2</v>
      </c>
      <c r="H39" s="49">
        <v>9</v>
      </c>
      <c r="I39" s="49">
        <v>7</v>
      </c>
      <c r="J39" s="49">
        <f t="shared" si="2"/>
        <v>18</v>
      </c>
      <c r="K39" s="49">
        <v>73</v>
      </c>
      <c r="L39" s="49">
        <v>77</v>
      </c>
      <c r="M39" s="49">
        <v>55</v>
      </c>
      <c r="N39" s="49">
        <v>19</v>
      </c>
      <c r="O39" s="90">
        <v>6</v>
      </c>
      <c r="P39" s="90" t="s">
        <v>284</v>
      </c>
    </row>
    <row r="40" spans="2:16" ht="15" customHeight="1">
      <c r="B40" s="88" t="s">
        <v>358</v>
      </c>
      <c r="C40" s="49">
        <f t="shared" si="1"/>
        <v>118</v>
      </c>
      <c r="D40" s="89" t="s">
        <v>284</v>
      </c>
      <c r="E40" s="89" t="s">
        <v>284</v>
      </c>
      <c r="F40" s="89" t="s">
        <v>284</v>
      </c>
      <c r="G40" s="89" t="s">
        <v>284</v>
      </c>
      <c r="H40" s="49">
        <v>3</v>
      </c>
      <c r="I40" s="49">
        <v>2</v>
      </c>
      <c r="J40" s="49">
        <f t="shared" si="2"/>
        <v>5</v>
      </c>
      <c r="K40" s="49">
        <v>39</v>
      </c>
      <c r="L40" s="49">
        <v>40</v>
      </c>
      <c r="M40" s="49">
        <v>23</v>
      </c>
      <c r="N40" s="49">
        <v>8</v>
      </c>
      <c r="O40" s="90">
        <v>3</v>
      </c>
      <c r="P40" s="90" t="s">
        <v>284</v>
      </c>
    </row>
    <row r="41" spans="2:16" ht="15" customHeight="1">
      <c r="B41" s="88" t="s">
        <v>359</v>
      </c>
      <c r="C41" s="49">
        <f t="shared" si="1"/>
        <v>960</v>
      </c>
      <c r="D41" s="89" t="s">
        <v>284</v>
      </c>
      <c r="E41" s="89">
        <v>1</v>
      </c>
      <c r="F41" s="89">
        <v>2</v>
      </c>
      <c r="G41" s="89">
        <v>8</v>
      </c>
      <c r="H41" s="49">
        <v>22</v>
      </c>
      <c r="I41" s="49">
        <v>26</v>
      </c>
      <c r="J41" s="49">
        <f t="shared" si="2"/>
        <v>59</v>
      </c>
      <c r="K41" s="49">
        <v>194</v>
      </c>
      <c r="L41" s="49">
        <v>296</v>
      </c>
      <c r="M41" s="49">
        <v>291</v>
      </c>
      <c r="N41" s="49">
        <v>94</v>
      </c>
      <c r="O41" s="90">
        <v>26</v>
      </c>
      <c r="P41" s="90" t="s">
        <v>284</v>
      </c>
    </row>
    <row r="42" spans="2:16" ht="15" customHeight="1">
      <c r="B42" s="88" t="s">
        <v>360</v>
      </c>
      <c r="C42" s="49">
        <f t="shared" si="1"/>
        <v>401</v>
      </c>
      <c r="D42" s="89" t="s">
        <v>284</v>
      </c>
      <c r="E42" s="89">
        <v>3</v>
      </c>
      <c r="F42" s="89">
        <v>3</v>
      </c>
      <c r="G42" s="89">
        <v>7</v>
      </c>
      <c r="H42" s="49">
        <v>9</v>
      </c>
      <c r="I42" s="49">
        <v>14</v>
      </c>
      <c r="J42" s="49">
        <f t="shared" si="2"/>
        <v>36</v>
      </c>
      <c r="K42" s="49">
        <v>115</v>
      </c>
      <c r="L42" s="49">
        <v>126</v>
      </c>
      <c r="M42" s="49">
        <v>87</v>
      </c>
      <c r="N42" s="49">
        <v>31</v>
      </c>
      <c r="O42" s="90">
        <v>6</v>
      </c>
      <c r="P42" s="90" t="s">
        <v>284</v>
      </c>
    </row>
    <row r="43" spans="2:16" ht="15" customHeight="1">
      <c r="B43" s="88" t="s">
        <v>361</v>
      </c>
      <c r="C43" s="49">
        <f t="shared" si="1"/>
        <v>580</v>
      </c>
      <c r="D43" s="89" t="s">
        <v>284</v>
      </c>
      <c r="E43" s="89">
        <v>1</v>
      </c>
      <c r="F43" s="89">
        <v>3</v>
      </c>
      <c r="G43" s="89">
        <v>6</v>
      </c>
      <c r="H43" s="49">
        <v>16</v>
      </c>
      <c r="I43" s="49">
        <v>28</v>
      </c>
      <c r="J43" s="49">
        <f t="shared" si="2"/>
        <v>54</v>
      </c>
      <c r="K43" s="49">
        <v>190</v>
      </c>
      <c r="L43" s="49">
        <v>159</v>
      </c>
      <c r="M43" s="49">
        <v>108</v>
      </c>
      <c r="N43" s="49">
        <v>55</v>
      </c>
      <c r="O43" s="90">
        <v>14</v>
      </c>
      <c r="P43" s="90" t="s">
        <v>284</v>
      </c>
    </row>
    <row r="44" spans="2:16" ht="12.75" customHeight="1">
      <c r="B44" s="88"/>
      <c r="C44" s="49"/>
      <c r="D44" s="89"/>
      <c r="E44" s="89"/>
      <c r="F44" s="89"/>
      <c r="G44" s="89"/>
      <c r="H44" s="49"/>
      <c r="I44" s="49"/>
      <c r="J44" s="49"/>
      <c r="K44" s="49"/>
      <c r="L44" s="49"/>
      <c r="M44" s="49"/>
      <c r="N44" s="49"/>
      <c r="O44" s="49"/>
      <c r="P44" s="90"/>
    </row>
    <row r="45" spans="2:16" ht="15" customHeight="1">
      <c r="B45" s="88" t="s">
        <v>362</v>
      </c>
      <c r="C45" s="49">
        <f t="shared" si="1"/>
        <v>369</v>
      </c>
      <c r="D45" s="89" t="s">
        <v>284</v>
      </c>
      <c r="E45" s="89" t="s">
        <v>284</v>
      </c>
      <c r="F45" s="89">
        <v>1</v>
      </c>
      <c r="G45" s="90">
        <v>3</v>
      </c>
      <c r="H45" s="49">
        <v>5</v>
      </c>
      <c r="I45" s="49">
        <v>2</v>
      </c>
      <c r="J45" s="49">
        <f t="shared" si="2"/>
        <v>11</v>
      </c>
      <c r="K45" s="49">
        <v>93</v>
      </c>
      <c r="L45" s="49">
        <v>103</v>
      </c>
      <c r="M45" s="49">
        <v>100</v>
      </c>
      <c r="N45" s="49">
        <v>48</v>
      </c>
      <c r="O45" s="90">
        <v>14</v>
      </c>
      <c r="P45" s="90" t="s">
        <v>284</v>
      </c>
    </row>
    <row r="46" spans="2:16" ht="15" customHeight="1">
      <c r="B46" s="88" t="s">
        <v>363</v>
      </c>
      <c r="C46" s="49">
        <f t="shared" si="1"/>
        <v>303</v>
      </c>
      <c r="D46" s="89" t="s">
        <v>284</v>
      </c>
      <c r="E46" s="89" t="s">
        <v>284</v>
      </c>
      <c r="F46" s="90">
        <v>1</v>
      </c>
      <c r="G46" s="89">
        <v>4</v>
      </c>
      <c r="H46" s="49">
        <v>6</v>
      </c>
      <c r="I46" s="49">
        <v>9</v>
      </c>
      <c r="J46" s="49">
        <f t="shared" si="2"/>
        <v>20</v>
      </c>
      <c r="K46" s="49">
        <v>72</v>
      </c>
      <c r="L46" s="49">
        <v>115</v>
      </c>
      <c r="M46" s="49">
        <v>73</v>
      </c>
      <c r="N46" s="49">
        <v>19</v>
      </c>
      <c r="O46" s="90">
        <v>4</v>
      </c>
      <c r="P46" s="90" t="s">
        <v>284</v>
      </c>
    </row>
    <row r="47" spans="2:16" ht="15" customHeight="1">
      <c r="B47" s="88" t="s">
        <v>364</v>
      </c>
      <c r="C47" s="49">
        <f t="shared" si="1"/>
        <v>3272</v>
      </c>
      <c r="D47" s="89">
        <v>2</v>
      </c>
      <c r="E47" s="89">
        <v>8</v>
      </c>
      <c r="F47" s="89">
        <v>24</v>
      </c>
      <c r="G47" s="89">
        <v>35</v>
      </c>
      <c r="H47" s="49">
        <v>70</v>
      </c>
      <c r="I47" s="49">
        <v>85</v>
      </c>
      <c r="J47" s="49">
        <f t="shared" si="2"/>
        <v>222</v>
      </c>
      <c r="K47" s="49">
        <v>780</v>
      </c>
      <c r="L47" s="49">
        <v>997</v>
      </c>
      <c r="M47" s="49">
        <v>863</v>
      </c>
      <c r="N47" s="49">
        <v>340</v>
      </c>
      <c r="O47" s="90">
        <v>68</v>
      </c>
      <c r="P47" s="90" t="s">
        <v>284</v>
      </c>
    </row>
    <row r="48" spans="2:16" ht="15" customHeight="1">
      <c r="B48" s="88" t="s">
        <v>365</v>
      </c>
      <c r="C48" s="49">
        <f t="shared" si="1"/>
        <v>747</v>
      </c>
      <c r="D48" s="89" t="s">
        <v>284</v>
      </c>
      <c r="E48" s="89">
        <v>1</v>
      </c>
      <c r="F48" s="89">
        <v>7</v>
      </c>
      <c r="G48" s="89">
        <v>4</v>
      </c>
      <c r="H48" s="49">
        <v>20</v>
      </c>
      <c r="I48" s="49">
        <v>24</v>
      </c>
      <c r="J48" s="49">
        <f t="shared" si="2"/>
        <v>56</v>
      </c>
      <c r="K48" s="49">
        <v>226</v>
      </c>
      <c r="L48" s="49">
        <v>231</v>
      </c>
      <c r="M48" s="49">
        <v>151</v>
      </c>
      <c r="N48" s="49">
        <v>70</v>
      </c>
      <c r="O48" s="90">
        <v>13</v>
      </c>
      <c r="P48" s="90" t="s">
        <v>284</v>
      </c>
    </row>
    <row r="49" spans="2:16" ht="15" customHeight="1">
      <c r="B49" s="88" t="s">
        <v>366</v>
      </c>
      <c r="C49" s="49">
        <f t="shared" si="1"/>
        <v>236</v>
      </c>
      <c r="D49" s="89" t="s">
        <v>284</v>
      </c>
      <c r="E49" s="89">
        <v>1</v>
      </c>
      <c r="F49" s="89">
        <v>2</v>
      </c>
      <c r="G49" s="89">
        <v>2</v>
      </c>
      <c r="H49" s="49">
        <v>6</v>
      </c>
      <c r="I49" s="49">
        <v>9</v>
      </c>
      <c r="J49" s="49">
        <f t="shared" si="2"/>
        <v>20</v>
      </c>
      <c r="K49" s="49">
        <v>79</v>
      </c>
      <c r="L49" s="49">
        <v>80</v>
      </c>
      <c r="M49" s="49">
        <v>38</v>
      </c>
      <c r="N49" s="49">
        <v>18</v>
      </c>
      <c r="O49" s="90">
        <v>1</v>
      </c>
      <c r="P49" s="90" t="s">
        <v>284</v>
      </c>
    </row>
    <row r="50" spans="2:16" ht="12.75" customHeight="1">
      <c r="B50" s="88"/>
      <c r="C50" s="49"/>
      <c r="D50" s="89"/>
      <c r="E50" s="89"/>
      <c r="F50" s="89"/>
      <c r="G50" s="89"/>
      <c r="H50" s="49"/>
      <c r="I50" s="49"/>
      <c r="J50" s="49"/>
      <c r="K50" s="49"/>
      <c r="L50" s="49"/>
      <c r="M50" s="49"/>
      <c r="N50" s="49"/>
      <c r="O50" s="49"/>
      <c r="P50" s="90"/>
    </row>
    <row r="51" spans="2:16" ht="15" customHeight="1">
      <c r="B51" s="88" t="s">
        <v>367</v>
      </c>
      <c r="C51" s="49">
        <f t="shared" si="1"/>
        <v>88</v>
      </c>
      <c r="D51" s="89" t="s">
        <v>284</v>
      </c>
      <c r="E51" s="89" t="s">
        <v>284</v>
      </c>
      <c r="F51" s="89" t="s">
        <v>284</v>
      </c>
      <c r="G51" s="89" t="s">
        <v>284</v>
      </c>
      <c r="H51" s="49">
        <v>3</v>
      </c>
      <c r="I51" s="49">
        <v>6</v>
      </c>
      <c r="J51" s="49">
        <f t="shared" si="2"/>
        <v>9</v>
      </c>
      <c r="K51" s="49">
        <v>32</v>
      </c>
      <c r="L51" s="49">
        <v>24</v>
      </c>
      <c r="M51" s="49">
        <v>17</v>
      </c>
      <c r="N51" s="49">
        <v>5</v>
      </c>
      <c r="O51" s="90">
        <v>1</v>
      </c>
      <c r="P51" s="90" t="s">
        <v>284</v>
      </c>
    </row>
    <row r="52" spans="2:16" ht="15" customHeight="1">
      <c r="B52" s="88" t="s">
        <v>368</v>
      </c>
      <c r="C52" s="49">
        <f t="shared" si="1"/>
        <v>659</v>
      </c>
      <c r="D52" s="89" t="s">
        <v>284</v>
      </c>
      <c r="E52" s="89">
        <v>2</v>
      </c>
      <c r="F52" s="89">
        <v>1</v>
      </c>
      <c r="G52" s="89">
        <v>5</v>
      </c>
      <c r="H52" s="49">
        <v>7</v>
      </c>
      <c r="I52" s="49">
        <v>25</v>
      </c>
      <c r="J52" s="49">
        <f t="shared" si="2"/>
        <v>40</v>
      </c>
      <c r="K52" s="49">
        <v>176</v>
      </c>
      <c r="L52" s="49">
        <v>222</v>
      </c>
      <c r="M52" s="49">
        <v>152</v>
      </c>
      <c r="N52" s="49">
        <v>60</v>
      </c>
      <c r="O52" s="90">
        <v>9</v>
      </c>
      <c r="P52" s="90" t="s">
        <v>284</v>
      </c>
    </row>
    <row r="53" spans="2:16" ht="15" customHeight="1">
      <c r="B53" s="88" t="s">
        <v>369</v>
      </c>
      <c r="C53" s="49">
        <f t="shared" si="1"/>
        <v>1725</v>
      </c>
      <c r="D53" s="89">
        <v>1</v>
      </c>
      <c r="E53" s="89">
        <v>6</v>
      </c>
      <c r="F53" s="89">
        <v>13</v>
      </c>
      <c r="G53" s="89">
        <v>21</v>
      </c>
      <c r="H53" s="49">
        <v>53</v>
      </c>
      <c r="I53" s="49">
        <v>65</v>
      </c>
      <c r="J53" s="49">
        <f t="shared" si="2"/>
        <v>158</v>
      </c>
      <c r="K53" s="49">
        <v>563</v>
      </c>
      <c r="L53" s="49">
        <v>524</v>
      </c>
      <c r="M53" s="49">
        <v>331</v>
      </c>
      <c r="N53" s="49">
        <v>115</v>
      </c>
      <c r="O53" s="90">
        <v>33</v>
      </c>
      <c r="P53" s="90" t="s">
        <v>284</v>
      </c>
    </row>
    <row r="54" spans="2:16" ht="15" customHeight="1">
      <c r="B54" s="88" t="s">
        <v>370</v>
      </c>
      <c r="C54" s="49">
        <f t="shared" si="1"/>
        <v>3176</v>
      </c>
      <c r="D54" s="89">
        <v>3</v>
      </c>
      <c r="E54" s="89">
        <v>7</v>
      </c>
      <c r="F54" s="89">
        <v>17</v>
      </c>
      <c r="G54" s="89">
        <v>33</v>
      </c>
      <c r="H54" s="49">
        <v>57</v>
      </c>
      <c r="I54" s="49">
        <v>95</v>
      </c>
      <c r="J54" s="49">
        <f t="shared" si="2"/>
        <v>209</v>
      </c>
      <c r="K54" s="49">
        <v>772</v>
      </c>
      <c r="L54" s="49">
        <v>979</v>
      </c>
      <c r="M54" s="49">
        <v>848</v>
      </c>
      <c r="N54" s="49">
        <v>302</v>
      </c>
      <c r="O54" s="90">
        <v>63</v>
      </c>
      <c r="P54" s="90" t="s">
        <v>284</v>
      </c>
    </row>
    <row r="55" spans="2:16" ht="15" customHeight="1">
      <c r="B55" s="88" t="s">
        <v>371</v>
      </c>
      <c r="C55" s="49">
        <f t="shared" si="1"/>
        <v>164</v>
      </c>
      <c r="D55" s="89" t="s">
        <v>284</v>
      </c>
      <c r="E55" s="89" t="s">
        <v>284</v>
      </c>
      <c r="F55" s="90">
        <v>1</v>
      </c>
      <c r="G55" s="89">
        <v>5</v>
      </c>
      <c r="H55" s="49">
        <v>4</v>
      </c>
      <c r="I55" s="49">
        <v>6</v>
      </c>
      <c r="J55" s="49">
        <f t="shared" si="2"/>
        <v>16</v>
      </c>
      <c r="K55" s="49">
        <v>44</v>
      </c>
      <c r="L55" s="49">
        <v>49</v>
      </c>
      <c r="M55" s="49">
        <v>39</v>
      </c>
      <c r="N55" s="49">
        <v>16</v>
      </c>
      <c r="O55" s="90" t="s">
        <v>284</v>
      </c>
      <c r="P55" s="90" t="s">
        <v>284</v>
      </c>
    </row>
    <row r="56" spans="2:16">
      <c r="B56" s="11"/>
      <c r="C56" s="49"/>
      <c r="D56" s="89"/>
      <c r="E56" s="11"/>
      <c r="F56" s="11"/>
      <c r="G56" s="11"/>
      <c r="H56" s="11"/>
      <c r="I56" s="11"/>
      <c r="J56" s="49"/>
      <c r="K56" s="11"/>
      <c r="L56" s="11"/>
      <c r="M56" s="11"/>
      <c r="N56" s="11"/>
      <c r="O56" s="11"/>
      <c r="P56" s="90"/>
    </row>
    <row r="57" spans="2:16">
      <c r="B57" s="88" t="s">
        <v>372</v>
      </c>
      <c r="C57" s="49">
        <f t="shared" si="1"/>
        <v>8839</v>
      </c>
      <c r="D57" s="89">
        <v>2</v>
      </c>
      <c r="E57" s="89">
        <v>19</v>
      </c>
      <c r="F57" s="89">
        <v>55</v>
      </c>
      <c r="G57" s="89">
        <v>80</v>
      </c>
      <c r="H57" s="89">
        <v>158</v>
      </c>
      <c r="I57" s="89">
        <v>247</v>
      </c>
      <c r="J57" s="49">
        <f t="shared" si="2"/>
        <v>559</v>
      </c>
      <c r="K57" s="89">
        <v>1807</v>
      </c>
      <c r="L57" s="89">
        <v>2957</v>
      </c>
      <c r="M57" s="89">
        <v>2479</v>
      </c>
      <c r="N57" s="89">
        <v>878</v>
      </c>
      <c r="O57" s="89">
        <v>157</v>
      </c>
      <c r="P57" s="90" t="s">
        <v>284</v>
      </c>
    </row>
    <row r="58" spans="2:16">
      <c r="B58" s="88" t="s">
        <v>373</v>
      </c>
      <c r="C58" s="49">
        <f t="shared" si="1"/>
        <v>16</v>
      </c>
      <c r="D58" s="89" t="s">
        <v>284</v>
      </c>
      <c r="E58" s="89" t="s">
        <v>284</v>
      </c>
      <c r="F58" s="89" t="s">
        <v>284</v>
      </c>
      <c r="G58" s="89" t="s">
        <v>284</v>
      </c>
      <c r="H58" s="89" t="s">
        <v>284</v>
      </c>
      <c r="I58" s="89">
        <v>1</v>
      </c>
      <c r="J58" s="49">
        <f t="shared" si="2"/>
        <v>1</v>
      </c>
      <c r="K58" s="89">
        <v>5</v>
      </c>
      <c r="L58" s="89">
        <v>3</v>
      </c>
      <c r="M58" s="89">
        <v>6</v>
      </c>
      <c r="N58" s="89">
        <v>1</v>
      </c>
      <c r="O58" s="90" t="s">
        <v>284</v>
      </c>
      <c r="P58" s="90" t="s">
        <v>284</v>
      </c>
    </row>
    <row r="59" spans="2:16">
      <c r="B59" s="88" t="s">
        <v>374</v>
      </c>
      <c r="C59" s="49">
        <f t="shared" si="1"/>
        <v>98</v>
      </c>
      <c r="D59" s="89" t="s">
        <v>284</v>
      </c>
      <c r="E59" s="89" t="s">
        <v>284</v>
      </c>
      <c r="F59" s="89" t="s">
        <v>284</v>
      </c>
      <c r="G59" s="90">
        <v>1</v>
      </c>
      <c r="H59" s="89">
        <v>8</v>
      </c>
      <c r="I59" s="89">
        <v>4</v>
      </c>
      <c r="J59" s="49">
        <f t="shared" si="2"/>
        <v>13</v>
      </c>
      <c r="K59" s="89">
        <v>38</v>
      </c>
      <c r="L59" s="89">
        <v>26</v>
      </c>
      <c r="M59" s="89">
        <v>12</v>
      </c>
      <c r="N59" s="89">
        <v>7</v>
      </c>
      <c r="O59" s="89">
        <v>2</v>
      </c>
      <c r="P59" s="90" t="s">
        <v>284</v>
      </c>
    </row>
    <row r="60" spans="2:16">
      <c r="B60" s="88" t="s">
        <v>375</v>
      </c>
      <c r="C60" s="49">
        <f t="shared" si="1"/>
        <v>802</v>
      </c>
      <c r="D60" s="89" t="s">
        <v>284</v>
      </c>
      <c r="E60" s="90">
        <v>1</v>
      </c>
      <c r="F60" s="89">
        <v>4</v>
      </c>
      <c r="G60" s="89">
        <v>8</v>
      </c>
      <c r="H60" s="89">
        <v>20</v>
      </c>
      <c r="I60" s="89">
        <v>26</v>
      </c>
      <c r="J60" s="49">
        <f t="shared" si="2"/>
        <v>59</v>
      </c>
      <c r="K60" s="89">
        <v>188</v>
      </c>
      <c r="L60" s="89">
        <v>242</v>
      </c>
      <c r="M60" s="89">
        <v>201</v>
      </c>
      <c r="N60" s="89">
        <v>85</v>
      </c>
      <c r="O60" s="89">
        <v>27</v>
      </c>
      <c r="P60" s="90" t="s">
        <v>284</v>
      </c>
    </row>
    <row r="61" spans="2:16">
      <c r="B61" s="88" t="s">
        <v>376</v>
      </c>
      <c r="C61" s="49">
        <f t="shared" si="1"/>
        <v>178</v>
      </c>
      <c r="D61" s="89" t="s">
        <v>284</v>
      </c>
      <c r="E61" s="89">
        <v>1</v>
      </c>
      <c r="F61" s="89">
        <v>1</v>
      </c>
      <c r="G61" s="89">
        <v>1</v>
      </c>
      <c r="H61" s="89">
        <v>2</v>
      </c>
      <c r="I61" s="89">
        <v>2</v>
      </c>
      <c r="J61" s="49">
        <f t="shared" si="2"/>
        <v>7</v>
      </c>
      <c r="K61" s="89">
        <v>37</v>
      </c>
      <c r="L61" s="89">
        <v>62</v>
      </c>
      <c r="M61" s="89">
        <v>46</v>
      </c>
      <c r="N61" s="89">
        <v>21</v>
      </c>
      <c r="O61" s="89">
        <v>5</v>
      </c>
      <c r="P61" s="90" t="s">
        <v>284</v>
      </c>
    </row>
    <row r="62" spans="2:16">
      <c r="B62" s="88"/>
      <c r="C62" s="49"/>
      <c r="D62" s="89"/>
      <c r="E62" s="89"/>
      <c r="F62" s="89"/>
      <c r="G62" s="89"/>
      <c r="H62" s="89"/>
      <c r="I62" s="89"/>
      <c r="J62" s="49"/>
      <c r="K62" s="89"/>
      <c r="L62" s="89"/>
      <c r="M62" s="89"/>
      <c r="N62" s="89"/>
      <c r="O62" s="89"/>
      <c r="P62" s="90"/>
    </row>
    <row r="63" spans="2:16">
      <c r="B63" s="88" t="s">
        <v>377</v>
      </c>
      <c r="C63" s="49">
        <f t="shared" si="1"/>
        <v>1084</v>
      </c>
      <c r="D63" s="89">
        <v>1</v>
      </c>
      <c r="E63" s="89">
        <v>1</v>
      </c>
      <c r="F63" s="89">
        <v>10</v>
      </c>
      <c r="G63" s="89">
        <v>17</v>
      </c>
      <c r="H63" s="89">
        <v>26</v>
      </c>
      <c r="I63" s="89">
        <v>29</v>
      </c>
      <c r="J63" s="49">
        <f t="shared" si="2"/>
        <v>83</v>
      </c>
      <c r="K63" s="89">
        <v>311</v>
      </c>
      <c r="L63" s="89">
        <v>324</v>
      </c>
      <c r="M63" s="89">
        <v>256</v>
      </c>
      <c r="N63" s="89">
        <v>78</v>
      </c>
      <c r="O63" s="89">
        <v>31</v>
      </c>
      <c r="P63" s="90" t="s">
        <v>284</v>
      </c>
    </row>
    <row r="64" spans="2:16">
      <c r="B64" s="88" t="s">
        <v>378</v>
      </c>
      <c r="C64" s="49">
        <f t="shared" si="1"/>
        <v>1676</v>
      </c>
      <c r="D64" s="89" t="s">
        <v>284</v>
      </c>
      <c r="E64" s="89">
        <v>1</v>
      </c>
      <c r="F64" s="89">
        <v>4</v>
      </c>
      <c r="G64" s="89">
        <v>9</v>
      </c>
      <c r="H64" s="89">
        <v>14</v>
      </c>
      <c r="I64" s="89">
        <v>26</v>
      </c>
      <c r="J64" s="49">
        <f t="shared" si="2"/>
        <v>54</v>
      </c>
      <c r="K64" s="89">
        <v>244</v>
      </c>
      <c r="L64" s="89">
        <v>519</v>
      </c>
      <c r="M64" s="89">
        <v>568</v>
      </c>
      <c r="N64" s="89">
        <v>238</v>
      </c>
      <c r="O64" s="89">
        <v>53</v>
      </c>
      <c r="P64" s="90" t="s">
        <v>284</v>
      </c>
    </row>
    <row r="65" spans="2:16">
      <c r="B65" s="88" t="s">
        <v>379</v>
      </c>
      <c r="C65" s="49">
        <f t="shared" si="1"/>
        <v>43</v>
      </c>
      <c r="D65" s="89" t="s">
        <v>284</v>
      </c>
      <c r="E65" s="89" t="s">
        <v>284</v>
      </c>
      <c r="F65" s="89">
        <v>1</v>
      </c>
      <c r="G65" s="89">
        <v>1</v>
      </c>
      <c r="H65" s="89">
        <v>1</v>
      </c>
      <c r="I65" s="89" t="s">
        <v>284</v>
      </c>
      <c r="J65" s="49">
        <f t="shared" si="2"/>
        <v>3</v>
      </c>
      <c r="K65" s="89">
        <v>10</v>
      </c>
      <c r="L65" s="89">
        <v>15</v>
      </c>
      <c r="M65" s="89">
        <v>12</v>
      </c>
      <c r="N65" s="89">
        <v>3</v>
      </c>
      <c r="O65" s="90" t="s">
        <v>284</v>
      </c>
      <c r="P65" s="90" t="s">
        <v>284</v>
      </c>
    </row>
    <row r="66" spans="2:16">
      <c r="B66" s="88" t="s">
        <v>380</v>
      </c>
      <c r="C66" s="49">
        <f t="shared" si="1"/>
        <v>96</v>
      </c>
      <c r="D66" s="89" t="s">
        <v>284</v>
      </c>
      <c r="E66" s="89" t="s">
        <v>284</v>
      </c>
      <c r="F66" s="89" t="s">
        <v>284</v>
      </c>
      <c r="G66" s="89">
        <v>2</v>
      </c>
      <c r="H66" s="89">
        <v>1</v>
      </c>
      <c r="I66" s="90">
        <v>3</v>
      </c>
      <c r="J66" s="49">
        <f t="shared" si="2"/>
        <v>6</v>
      </c>
      <c r="K66" s="89">
        <v>28</v>
      </c>
      <c r="L66" s="89">
        <v>29</v>
      </c>
      <c r="M66" s="89">
        <v>18</v>
      </c>
      <c r="N66" s="89">
        <v>11</v>
      </c>
      <c r="O66" s="89">
        <v>4</v>
      </c>
      <c r="P66" s="90" t="s">
        <v>284</v>
      </c>
    </row>
    <row r="67" spans="2:16">
      <c r="B67" s="88" t="s">
        <v>381</v>
      </c>
      <c r="C67" s="49">
        <f t="shared" si="1"/>
        <v>9386</v>
      </c>
      <c r="D67" s="89">
        <v>3</v>
      </c>
      <c r="E67" s="89">
        <v>12</v>
      </c>
      <c r="F67" s="89">
        <v>28</v>
      </c>
      <c r="G67" s="89">
        <v>60</v>
      </c>
      <c r="H67" s="89">
        <v>117</v>
      </c>
      <c r="I67" s="89">
        <v>214</v>
      </c>
      <c r="J67" s="49">
        <f t="shared" si="2"/>
        <v>431</v>
      </c>
      <c r="K67" s="89">
        <v>1786</v>
      </c>
      <c r="L67" s="89">
        <v>2855</v>
      </c>
      <c r="M67" s="89">
        <v>2806</v>
      </c>
      <c r="N67" s="89">
        <v>1193</v>
      </c>
      <c r="O67" s="89">
        <v>312</v>
      </c>
      <c r="P67" s="90" t="s">
        <v>284</v>
      </c>
    </row>
    <row r="68" spans="2:16">
      <c r="B68" s="88"/>
      <c r="C68" s="49"/>
      <c r="D68" s="89"/>
      <c r="E68" s="89"/>
      <c r="F68" s="89"/>
      <c r="G68" s="89"/>
      <c r="H68" s="89"/>
      <c r="I68" s="89"/>
      <c r="J68" s="49"/>
      <c r="K68" s="89"/>
      <c r="L68" s="89"/>
      <c r="M68" s="89"/>
      <c r="N68" s="89"/>
      <c r="O68" s="89"/>
      <c r="P68" s="90"/>
    </row>
    <row r="69" spans="2:16">
      <c r="B69" s="88" t="s">
        <v>382</v>
      </c>
      <c r="C69" s="49">
        <f t="shared" si="1"/>
        <v>175</v>
      </c>
      <c r="D69" s="89">
        <v>1</v>
      </c>
      <c r="E69" s="90">
        <v>1</v>
      </c>
      <c r="F69" s="89">
        <v>1</v>
      </c>
      <c r="G69" s="89">
        <v>4</v>
      </c>
      <c r="H69" s="89">
        <v>6</v>
      </c>
      <c r="I69" s="89">
        <v>6</v>
      </c>
      <c r="J69" s="49">
        <f t="shared" si="2"/>
        <v>18</v>
      </c>
      <c r="K69" s="89">
        <v>36</v>
      </c>
      <c r="L69" s="89">
        <v>52</v>
      </c>
      <c r="M69" s="89">
        <v>46</v>
      </c>
      <c r="N69" s="89">
        <v>21</v>
      </c>
      <c r="O69" s="89">
        <v>1</v>
      </c>
      <c r="P69" s="90" t="s">
        <v>284</v>
      </c>
    </row>
    <row r="70" spans="2:16">
      <c r="B70" s="88" t="s">
        <v>383</v>
      </c>
      <c r="C70" s="49">
        <f t="shared" si="1"/>
        <v>599</v>
      </c>
      <c r="D70" s="89">
        <v>1</v>
      </c>
      <c r="E70" s="89" t="s">
        <v>284</v>
      </c>
      <c r="F70" s="89">
        <v>2</v>
      </c>
      <c r="G70" s="89">
        <v>2</v>
      </c>
      <c r="H70" s="89">
        <v>15</v>
      </c>
      <c r="I70" s="89">
        <v>15</v>
      </c>
      <c r="J70" s="49">
        <f t="shared" si="2"/>
        <v>34</v>
      </c>
      <c r="K70" s="89">
        <v>118</v>
      </c>
      <c r="L70" s="89">
        <v>227</v>
      </c>
      <c r="M70" s="89">
        <v>138</v>
      </c>
      <c r="N70" s="89">
        <v>67</v>
      </c>
      <c r="O70" s="89">
        <v>14</v>
      </c>
      <c r="P70" s="90" t="s">
        <v>284</v>
      </c>
    </row>
    <row r="71" spans="2:16">
      <c r="B71" s="88" t="s">
        <v>384</v>
      </c>
      <c r="C71" s="49">
        <f t="shared" si="1"/>
        <v>270</v>
      </c>
      <c r="D71" s="89" t="s">
        <v>284</v>
      </c>
      <c r="E71" s="89" t="s">
        <v>284</v>
      </c>
      <c r="F71" s="89" t="s">
        <v>284</v>
      </c>
      <c r="G71" s="89">
        <v>2</v>
      </c>
      <c r="H71" s="89">
        <v>7</v>
      </c>
      <c r="I71" s="89">
        <v>8</v>
      </c>
      <c r="J71" s="49">
        <f t="shared" si="2"/>
        <v>17</v>
      </c>
      <c r="K71" s="89">
        <v>85</v>
      </c>
      <c r="L71" s="89">
        <v>76</v>
      </c>
      <c r="M71" s="89">
        <v>57</v>
      </c>
      <c r="N71" s="89">
        <v>32</v>
      </c>
      <c r="O71" s="89">
        <v>3</v>
      </c>
      <c r="P71" s="90" t="s">
        <v>284</v>
      </c>
    </row>
    <row r="72" spans="2:16">
      <c r="B72" s="88" t="s">
        <v>385</v>
      </c>
      <c r="C72" s="49">
        <f t="shared" si="1"/>
        <v>413</v>
      </c>
      <c r="D72" s="89" t="s">
        <v>284</v>
      </c>
      <c r="E72" s="89" t="s">
        <v>284</v>
      </c>
      <c r="F72" s="89">
        <v>3</v>
      </c>
      <c r="G72" s="89">
        <v>4</v>
      </c>
      <c r="H72" s="89">
        <v>5</v>
      </c>
      <c r="I72" s="89">
        <v>19</v>
      </c>
      <c r="J72" s="49">
        <f t="shared" si="2"/>
        <v>31</v>
      </c>
      <c r="K72" s="89">
        <v>133</v>
      </c>
      <c r="L72" s="89">
        <v>126</v>
      </c>
      <c r="M72" s="89">
        <v>81</v>
      </c>
      <c r="N72" s="89">
        <v>33</v>
      </c>
      <c r="O72" s="89">
        <v>9</v>
      </c>
      <c r="P72" s="90" t="s">
        <v>284</v>
      </c>
    </row>
    <row r="73" spans="2:16">
      <c r="B73" s="88" t="s">
        <v>386</v>
      </c>
      <c r="C73" s="49">
        <f t="shared" si="1"/>
        <v>220</v>
      </c>
      <c r="D73" s="89" t="s">
        <v>284</v>
      </c>
      <c r="E73" s="89" t="s">
        <v>284</v>
      </c>
      <c r="F73" s="89" t="s">
        <v>284</v>
      </c>
      <c r="G73" s="89">
        <v>4</v>
      </c>
      <c r="H73" s="89">
        <v>7</v>
      </c>
      <c r="I73" s="89">
        <v>12</v>
      </c>
      <c r="J73" s="49">
        <f t="shared" si="2"/>
        <v>23</v>
      </c>
      <c r="K73" s="89">
        <v>63</v>
      </c>
      <c r="L73" s="89">
        <v>57</v>
      </c>
      <c r="M73" s="89">
        <v>50</v>
      </c>
      <c r="N73" s="89">
        <v>23</v>
      </c>
      <c r="O73" s="89">
        <v>4</v>
      </c>
      <c r="P73" s="90" t="s">
        <v>284</v>
      </c>
    </row>
    <row r="74" spans="2:16">
      <c r="B74" s="88"/>
      <c r="C74" s="49"/>
      <c r="D74" s="89"/>
      <c r="E74" s="89"/>
      <c r="F74" s="89"/>
      <c r="G74" s="89"/>
      <c r="H74" s="89"/>
      <c r="I74" s="89"/>
      <c r="J74" s="49"/>
      <c r="K74" s="89"/>
      <c r="L74" s="89"/>
      <c r="M74" s="89"/>
      <c r="N74" s="89"/>
      <c r="O74" s="89"/>
      <c r="P74" s="90"/>
    </row>
    <row r="75" spans="2:16">
      <c r="B75" s="88" t="s">
        <v>387</v>
      </c>
      <c r="C75" s="49">
        <f t="shared" ref="C75:C108" si="3">SUM(D75:I75,K75:P75)</f>
        <v>835</v>
      </c>
      <c r="D75" s="89" t="s">
        <v>284</v>
      </c>
      <c r="E75" s="89">
        <v>3</v>
      </c>
      <c r="F75" s="89">
        <v>1</v>
      </c>
      <c r="G75" s="89">
        <v>7</v>
      </c>
      <c r="H75" s="89">
        <v>7</v>
      </c>
      <c r="I75" s="89">
        <v>19</v>
      </c>
      <c r="J75" s="49">
        <f t="shared" ref="J75:J107" si="4">SUM(E75:I75)</f>
        <v>37</v>
      </c>
      <c r="K75" s="89">
        <v>192</v>
      </c>
      <c r="L75" s="89">
        <v>259</v>
      </c>
      <c r="M75" s="89">
        <v>238</v>
      </c>
      <c r="N75" s="89">
        <v>97</v>
      </c>
      <c r="O75" s="89">
        <v>12</v>
      </c>
      <c r="P75" s="90" t="s">
        <v>284</v>
      </c>
    </row>
    <row r="76" spans="2:16">
      <c r="B76" s="88" t="s">
        <v>388</v>
      </c>
      <c r="C76" s="49">
        <f t="shared" si="3"/>
        <v>162</v>
      </c>
      <c r="D76" s="89" t="s">
        <v>284</v>
      </c>
      <c r="E76" s="89" t="s">
        <v>284</v>
      </c>
      <c r="F76" s="90">
        <v>1</v>
      </c>
      <c r="G76" s="89">
        <v>1</v>
      </c>
      <c r="H76" s="89">
        <v>4</v>
      </c>
      <c r="I76" s="89">
        <v>4</v>
      </c>
      <c r="J76" s="49">
        <f t="shared" si="4"/>
        <v>10</v>
      </c>
      <c r="K76" s="89">
        <v>42</v>
      </c>
      <c r="L76" s="89">
        <v>62</v>
      </c>
      <c r="M76" s="89">
        <v>38</v>
      </c>
      <c r="N76" s="89">
        <v>8</v>
      </c>
      <c r="O76" s="89">
        <v>2</v>
      </c>
      <c r="P76" s="90" t="s">
        <v>284</v>
      </c>
    </row>
    <row r="77" spans="2:16">
      <c r="B77" s="88" t="s">
        <v>389</v>
      </c>
      <c r="C77" s="49">
        <f t="shared" si="3"/>
        <v>1520</v>
      </c>
      <c r="D77" s="89" t="s">
        <v>284</v>
      </c>
      <c r="E77" s="89" t="s">
        <v>284</v>
      </c>
      <c r="F77" s="89">
        <v>8</v>
      </c>
      <c r="G77" s="89">
        <v>12</v>
      </c>
      <c r="H77" s="89">
        <v>25</v>
      </c>
      <c r="I77" s="89">
        <v>57</v>
      </c>
      <c r="J77" s="49">
        <f t="shared" si="4"/>
        <v>102</v>
      </c>
      <c r="K77" s="89">
        <v>386</v>
      </c>
      <c r="L77" s="89">
        <v>494</v>
      </c>
      <c r="M77" s="89">
        <v>384</v>
      </c>
      <c r="N77" s="89">
        <v>127</v>
      </c>
      <c r="O77" s="89">
        <v>27</v>
      </c>
      <c r="P77" s="90" t="s">
        <v>284</v>
      </c>
    </row>
    <row r="78" spans="2:16">
      <c r="B78" s="88" t="s">
        <v>390</v>
      </c>
      <c r="C78" s="49">
        <f t="shared" si="3"/>
        <v>755</v>
      </c>
      <c r="D78" s="89" t="s">
        <v>284</v>
      </c>
      <c r="E78" s="90">
        <v>2</v>
      </c>
      <c r="F78" s="89">
        <v>5</v>
      </c>
      <c r="G78" s="89">
        <v>12</v>
      </c>
      <c r="H78" s="89">
        <v>15</v>
      </c>
      <c r="I78" s="89">
        <v>26</v>
      </c>
      <c r="J78" s="49">
        <f t="shared" si="4"/>
        <v>60</v>
      </c>
      <c r="K78" s="89">
        <v>278</v>
      </c>
      <c r="L78" s="89">
        <v>241</v>
      </c>
      <c r="M78" s="89">
        <v>130</v>
      </c>
      <c r="N78" s="89">
        <v>38</v>
      </c>
      <c r="O78" s="89">
        <v>8</v>
      </c>
      <c r="P78" s="90" t="s">
        <v>284</v>
      </c>
    </row>
    <row r="79" spans="2:16">
      <c r="B79" s="88" t="s">
        <v>391</v>
      </c>
      <c r="C79" s="49">
        <f t="shared" si="3"/>
        <v>58</v>
      </c>
      <c r="D79" s="89" t="s">
        <v>284</v>
      </c>
      <c r="E79" s="89" t="s">
        <v>284</v>
      </c>
      <c r="F79" s="89" t="s">
        <v>284</v>
      </c>
      <c r="G79" s="89">
        <v>2</v>
      </c>
      <c r="H79" s="89">
        <v>1</v>
      </c>
      <c r="I79" s="89">
        <v>2</v>
      </c>
      <c r="J79" s="49">
        <f t="shared" si="4"/>
        <v>5</v>
      </c>
      <c r="K79" s="89">
        <v>21</v>
      </c>
      <c r="L79" s="89">
        <v>17</v>
      </c>
      <c r="M79" s="89">
        <v>12</v>
      </c>
      <c r="N79" s="89">
        <v>3</v>
      </c>
      <c r="O79" s="90" t="s">
        <v>284</v>
      </c>
      <c r="P79" s="90" t="s">
        <v>284</v>
      </c>
    </row>
    <row r="80" spans="2:16">
      <c r="B80" s="88"/>
      <c r="C80" s="49"/>
      <c r="D80" s="89"/>
      <c r="E80" s="89"/>
      <c r="F80" s="89"/>
      <c r="G80" s="89"/>
      <c r="H80" s="89"/>
      <c r="I80" s="89"/>
      <c r="J80" s="49"/>
      <c r="K80" s="89"/>
      <c r="L80" s="89"/>
      <c r="M80" s="89"/>
      <c r="N80" s="89"/>
      <c r="O80" s="89"/>
      <c r="P80" s="90"/>
    </row>
    <row r="81" spans="2:16">
      <c r="B81" s="88" t="s">
        <v>392</v>
      </c>
      <c r="C81" s="49">
        <f t="shared" si="3"/>
        <v>2132</v>
      </c>
      <c r="D81" s="89">
        <v>6</v>
      </c>
      <c r="E81" s="89">
        <v>6</v>
      </c>
      <c r="F81" s="89">
        <v>14</v>
      </c>
      <c r="G81" s="89">
        <v>28</v>
      </c>
      <c r="H81" s="89">
        <v>70</v>
      </c>
      <c r="I81" s="89">
        <v>103</v>
      </c>
      <c r="J81" s="49">
        <f t="shared" si="4"/>
        <v>221</v>
      </c>
      <c r="K81" s="89">
        <v>656</v>
      </c>
      <c r="L81" s="89">
        <v>621</v>
      </c>
      <c r="M81" s="89">
        <v>448</v>
      </c>
      <c r="N81" s="89">
        <v>152</v>
      </c>
      <c r="O81" s="89">
        <v>27</v>
      </c>
      <c r="P81" s="90">
        <v>1</v>
      </c>
    </row>
    <row r="82" spans="2:16">
      <c r="B82" s="88" t="s">
        <v>393</v>
      </c>
      <c r="C82" s="49">
        <f t="shared" si="3"/>
        <v>535</v>
      </c>
      <c r="D82" s="89" t="s">
        <v>284</v>
      </c>
      <c r="E82" s="89">
        <v>3</v>
      </c>
      <c r="F82" s="89">
        <v>1</v>
      </c>
      <c r="G82" s="89">
        <v>7</v>
      </c>
      <c r="H82" s="89">
        <v>12</v>
      </c>
      <c r="I82" s="89">
        <v>19</v>
      </c>
      <c r="J82" s="49">
        <f t="shared" si="4"/>
        <v>42</v>
      </c>
      <c r="K82" s="89">
        <v>164</v>
      </c>
      <c r="L82" s="89">
        <v>179</v>
      </c>
      <c r="M82" s="89">
        <v>94</v>
      </c>
      <c r="N82" s="89">
        <v>48</v>
      </c>
      <c r="O82" s="89">
        <v>8</v>
      </c>
      <c r="P82" s="90" t="s">
        <v>284</v>
      </c>
    </row>
    <row r="83" spans="2:16">
      <c r="B83" s="88" t="s">
        <v>394</v>
      </c>
      <c r="C83" s="49">
        <f t="shared" si="3"/>
        <v>13501</v>
      </c>
      <c r="D83" s="89">
        <v>2</v>
      </c>
      <c r="E83" s="89">
        <v>13</v>
      </c>
      <c r="F83" s="89">
        <v>39</v>
      </c>
      <c r="G83" s="89">
        <v>70</v>
      </c>
      <c r="H83" s="89">
        <v>113</v>
      </c>
      <c r="I83" s="89">
        <v>212</v>
      </c>
      <c r="J83" s="49">
        <f t="shared" si="4"/>
        <v>447</v>
      </c>
      <c r="K83" s="89">
        <v>2017</v>
      </c>
      <c r="L83" s="89">
        <v>3603</v>
      </c>
      <c r="M83" s="89">
        <v>4732</v>
      </c>
      <c r="N83" s="89">
        <v>2175</v>
      </c>
      <c r="O83" s="89">
        <v>525</v>
      </c>
      <c r="P83" s="90" t="s">
        <v>284</v>
      </c>
    </row>
    <row r="84" spans="2:16">
      <c r="B84" s="88" t="s">
        <v>395</v>
      </c>
      <c r="C84" s="49">
        <f t="shared" si="3"/>
        <v>274</v>
      </c>
      <c r="D84" s="89" t="s">
        <v>284</v>
      </c>
      <c r="E84" s="89" t="s">
        <v>284</v>
      </c>
      <c r="F84" s="89" t="s">
        <v>284</v>
      </c>
      <c r="G84" s="89">
        <v>6</v>
      </c>
      <c r="H84" s="89">
        <v>8</v>
      </c>
      <c r="I84" s="89">
        <v>13</v>
      </c>
      <c r="J84" s="49">
        <f t="shared" si="4"/>
        <v>27</v>
      </c>
      <c r="K84" s="89">
        <v>76</v>
      </c>
      <c r="L84" s="89">
        <v>89</v>
      </c>
      <c r="M84" s="89">
        <v>60</v>
      </c>
      <c r="N84" s="89">
        <v>19</v>
      </c>
      <c r="O84" s="89">
        <v>3</v>
      </c>
      <c r="P84" s="90" t="s">
        <v>284</v>
      </c>
    </row>
    <row r="85" spans="2:16">
      <c r="B85" s="88" t="s">
        <v>396</v>
      </c>
      <c r="C85" s="49">
        <f t="shared" si="3"/>
        <v>176</v>
      </c>
      <c r="D85" s="89">
        <v>1</v>
      </c>
      <c r="E85" s="89" t="s">
        <v>284</v>
      </c>
      <c r="F85" s="89" t="s">
        <v>284</v>
      </c>
      <c r="G85" s="89">
        <v>2</v>
      </c>
      <c r="H85" s="89">
        <v>9</v>
      </c>
      <c r="I85" s="89">
        <v>8</v>
      </c>
      <c r="J85" s="49">
        <f t="shared" si="4"/>
        <v>19</v>
      </c>
      <c r="K85" s="89">
        <v>55</v>
      </c>
      <c r="L85" s="89">
        <v>57</v>
      </c>
      <c r="M85" s="89">
        <v>29</v>
      </c>
      <c r="N85" s="89">
        <v>10</v>
      </c>
      <c r="O85" s="89">
        <v>5</v>
      </c>
      <c r="P85" s="90" t="s">
        <v>284</v>
      </c>
    </row>
    <row r="86" spans="2:16">
      <c r="B86" s="88"/>
      <c r="C86" s="49"/>
      <c r="D86" s="89"/>
      <c r="E86" s="89"/>
      <c r="F86" s="89"/>
      <c r="G86" s="89"/>
      <c r="H86" s="89"/>
      <c r="I86" s="89"/>
      <c r="J86" s="49"/>
      <c r="K86" s="89"/>
      <c r="L86" s="89"/>
      <c r="M86" s="89"/>
      <c r="N86" s="89"/>
      <c r="O86" s="89"/>
      <c r="P86" s="90"/>
    </row>
    <row r="87" spans="2:16">
      <c r="B87" s="88" t="s">
        <v>397</v>
      </c>
      <c r="C87" s="49">
        <f t="shared" si="3"/>
        <v>28</v>
      </c>
      <c r="D87" s="89">
        <v>1</v>
      </c>
      <c r="E87" s="89" t="s">
        <v>284</v>
      </c>
      <c r="F87" s="89" t="s">
        <v>284</v>
      </c>
      <c r="G87" s="89">
        <v>1</v>
      </c>
      <c r="H87" s="89" t="s">
        <v>284</v>
      </c>
      <c r="I87" s="89">
        <v>1</v>
      </c>
      <c r="J87" s="49">
        <f t="shared" si="4"/>
        <v>2</v>
      </c>
      <c r="K87" s="89">
        <v>3</v>
      </c>
      <c r="L87" s="89">
        <v>9</v>
      </c>
      <c r="M87" s="89">
        <v>7</v>
      </c>
      <c r="N87" s="89">
        <v>6</v>
      </c>
      <c r="O87" s="90" t="s">
        <v>284</v>
      </c>
      <c r="P87" s="90" t="s">
        <v>284</v>
      </c>
    </row>
    <row r="88" spans="2:16">
      <c r="B88" s="88" t="s">
        <v>398</v>
      </c>
      <c r="C88" s="49">
        <f t="shared" si="3"/>
        <v>261</v>
      </c>
      <c r="D88" s="89" t="s">
        <v>284</v>
      </c>
      <c r="E88" s="89">
        <v>2</v>
      </c>
      <c r="F88" s="89">
        <v>3</v>
      </c>
      <c r="G88" s="89">
        <v>4</v>
      </c>
      <c r="H88" s="89">
        <v>6</v>
      </c>
      <c r="I88" s="89">
        <v>8</v>
      </c>
      <c r="J88" s="49">
        <f t="shared" si="4"/>
        <v>23</v>
      </c>
      <c r="K88" s="89">
        <v>78</v>
      </c>
      <c r="L88" s="89">
        <v>90</v>
      </c>
      <c r="M88" s="89">
        <v>42</v>
      </c>
      <c r="N88" s="89">
        <v>22</v>
      </c>
      <c r="O88" s="89">
        <v>6</v>
      </c>
      <c r="P88" s="90" t="s">
        <v>284</v>
      </c>
    </row>
    <row r="89" spans="2:16">
      <c r="B89" s="88" t="s">
        <v>399</v>
      </c>
      <c r="C89" s="49">
        <f t="shared" si="3"/>
        <v>66</v>
      </c>
      <c r="D89" s="89" t="s">
        <v>284</v>
      </c>
      <c r="E89" s="89" t="s">
        <v>284</v>
      </c>
      <c r="F89" s="89">
        <v>1</v>
      </c>
      <c r="G89" s="89" t="s">
        <v>284</v>
      </c>
      <c r="H89" s="89">
        <v>3</v>
      </c>
      <c r="I89" s="89">
        <v>6</v>
      </c>
      <c r="J89" s="49">
        <f t="shared" si="4"/>
        <v>10</v>
      </c>
      <c r="K89" s="89">
        <v>18</v>
      </c>
      <c r="L89" s="89">
        <v>19</v>
      </c>
      <c r="M89" s="89">
        <v>9</v>
      </c>
      <c r="N89" s="89">
        <v>6</v>
      </c>
      <c r="O89" s="89">
        <v>4</v>
      </c>
      <c r="P89" s="90" t="s">
        <v>284</v>
      </c>
    </row>
    <row r="90" spans="2:16">
      <c r="B90" s="88" t="s">
        <v>400</v>
      </c>
      <c r="C90" s="49">
        <f t="shared" si="3"/>
        <v>229</v>
      </c>
      <c r="D90" s="89" t="s">
        <v>284</v>
      </c>
      <c r="E90" s="89" t="s">
        <v>284</v>
      </c>
      <c r="F90" s="89">
        <v>3</v>
      </c>
      <c r="G90" s="89">
        <v>1</v>
      </c>
      <c r="H90" s="89">
        <v>4</v>
      </c>
      <c r="I90" s="89">
        <v>12</v>
      </c>
      <c r="J90" s="49">
        <f t="shared" si="4"/>
        <v>20</v>
      </c>
      <c r="K90" s="89">
        <v>55</v>
      </c>
      <c r="L90" s="89">
        <v>81</v>
      </c>
      <c r="M90" s="89">
        <v>58</v>
      </c>
      <c r="N90" s="89">
        <v>12</v>
      </c>
      <c r="O90" s="89">
        <v>3</v>
      </c>
      <c r="P90" s="90" t="s">
        <v>284</v>
      </c>
    </row>
    <row r="91" spans="2:16">
      <c r="B91" s="88" t="s">
        <v>401</v>
      </c>
      <c r="C91" s="49">
        <f t="shared" si="3"/>
        <v>3377</v>
      </c>
      <c r="D91" s="89">
        <v>1</v>
      </c>
      <c r="E91" s="89">
        <v>3</v>
      </c>
      <c r="F91" s="89">
        <v>18</v>
      </c>
      <c r="G91" s="89">
        <v>28</v>
      </c>
      <c r="H91" s="89">
        <v>31</v>
      </c>
      <c r="I91" s="89">
        <v>86</v>
      </c>
      <c r="J91" s="49">
        <f t="shared" si="4"/>
        <v>166</v>
      </c>
      <c r="K91" s="89">
        <v>633</v>
      </c>
      <c r="L91" s="89">
        <v>1243</v>
      </c>
      <c r="M91" s="89">
        <v>942</v>
      </c>
      <c r="N91" s="89">
        <v>331</v>
      </c>
      <c r="O91" s="89">
        <v>61</v>
      </c>
      <c r="P91" s="90" t="s">
        <v>284</v>
      </c>
    </row>
    <row r="92" spans="2:16">
      <c r="B92" s="88"/>
      <c r="C92" s="49"/>
      <c r="D92" s="89"/>
      <c r="E92" s="89"/>
      <c r="F92" s="89"/>
      <c r="G92" s="89"/>
      <c r="H92" s="89"/>
      <c r="I92" s="89"/>
      <c r="J92" s="49"/>
      <c r="K92" s="89"/>
      <c r="L92" s="89"/>
      <c r="M92" s="89"/>
      <c r="N92" s="89"/>
      <c r="O92" s="89"/>
      <c r="P92" s="90"/>
    </row>
    <row r="93" spans="2:16">
      <c r="B93" s="88" t="s">
        <v>402</v>
      </c>
      <c r="C93" s="49">
        <f t="shared" si="3"/>
        <v>88</v>
      </c>
      <c r="D93" s="89" t="s">
        <v>284</v>
      </c>
      <c r="E93" s="89" t="s">
        <v>284</v>
      </c>
      <c r="F93" s="89" t="s">
        <v>284</v>
      </c>
      <c r="G93" s="89" t="s">
        <v>284</v>
      </c>
      <c r="H93" s="89">
        <v>2</v>
      </c>
      <c r="I93" s="89">
        <v>5</v>
      </c>
      <c r="J93" s="49">
        <f t="shared" si="4"/>
        <v>7</v>
      </c>
      <c r="K93" s="89">
        <v>24</v>
      </c>
      <c r="L93" s="89">
        <v>30</v>
      </c>
      <c r="M93" s="89">
        <v>18</v>
      </c>
      <c r="N93" s="89">
        <v>7</v>
      </c>
      <c r="O93" s="89">
        <v>2</v>
      </c>
      <c r="P93" s="90" t="s">
        <v>284</v>
      </c>
    </row>
    <row r="94" spans="2:16">
      <c r="B94" s="88" t="s">
        <v>403</v>
      </c>
      <c r="C94" s="49">
        <f t="shared" si="3"/>
        <v>171</v>
      </c>
      <c r="D94" s="89" t="s">
        <v>284</v>
      </c>
      <c r="E94" s="89" t="s">
        <v>284</v>
      </c>
      <c r="F94" s="90">
        <v>1</v>
      </c>
      <c r="G94" s="89">
        <v>2</v>
      </c>
      <c r="H94" s="89">
        <v>7</v>
      </c>
      <c r="I94" s="89">
        <v>12</v>
      </c>
      <c r="J94" s="49">
        <f t="shared" si="4"/>
        <v>22</v>
      </c>
      <c r="K94" s="89">
        <v>58</v>
      </c>
      <c r="L94" s="89">
        <v>49</v>
      </c>
      <c r="M94" s="89">
        <v>30</v>
      </c>
      <c r="N94" s="89">
        <v>9</v>
      </c>
      <c r="O94" s="89">
        <v>3</v>
      </c>
      <c r="P94" s="90" t="s">
        <v>284</v>
      </c>
    </row>
    <row r="95" spans="2:16">
      <c r="B95" s="88" t="s">
        <v>404</v>
      </c>
      <c r="C95" s="49">
        <f t="shared" si="3"/>
        <v>2278</v>
      </c>
      <c r="D95" s="89">
        <v>2</v>
      </c>
      <c r="E95" s="89">
        <v>8</v>
      </c>
      <c r="F95" s="89">
        <v>11</v>
      </c>
      <c r="G95" s="89">
        <v>32</v>
      </c>
      <c r="H95" s="89">
        <v>59</v>
      </c>
      <c r="I95" s="89">
        <v>92</v>
      </c>
      <c r="J95" s="49">
        <f t="shared" si="4"/>
        <v>202</v>
      </c>
      <c r="K95" s="89">
        <v>669</v>
      </c>
      <c r="L95" s="89">
        <v>664</v>
      </c>
      <c r="M95" s="89">
        <v>515</v>
      </c>
      <c r="N95" s="89">
        <v>186</v>
      </c>
      <c r="O95" s="89">
        <v>40</v>
      </c>
      <c r="P95" s="90" t="s">
        <v>284</v>
      </c>
    </row>
    <row r="96" spans="2:16">
      <c r="B96" s="88" t="s">
        <v>405</v>
      </c>
      <c r="C96" s="49">
        <f t="shared" si="3"/>
        <v>1550</v>
      </c>
      <c r="D96" s="89">
        <v>1</v>
      </c>
      <c r="E96" s="89">
        <v>6</v>
      </c>
      <c r="F96" s="89">
        <v>2</v>
      </c>
      <c r="G96" s="89">
        <v>19</v>
      </c>
      <c r="H96" s="89">
        <v>38</v>
      </c>
      <c r="I96" s="89">
        <v>53</v>
      </c>
      <c r="J96" s="49">
        <f t="shared" si="4"/>
        <v>118</v>
      </c>
      <c r="K96" s="89">
        <v>431</v>
      </c>
      <c r="L96" s="89">
        <v>519</v>
      </c>
      <c r="M96" s="89">
        <v>342</v>
      </c>
      <c r="N96" s="89">
        <v>116</v>
      </c>
      <c r="O96" s="89">
        <v>23</v>
      </c>
      <c r="P96" s="90" t="s">
        <v>284</v>
      </c>
    </row>
    <row r="97" spans="2:16">
      <c r="B97" s="88" t="s">
        <v>406</v>
      </c>
      <c r="C97" s="49">
        <f t="shared" si="3"/>
        <v>860</v>
      </c>
      <c r="D97" s="89" t="s">
        <v>284</v>
      </c>
      <c r="E97" s="90">
        <v>2</v>
      </c>
      <c r="F97" s="89">
        <v>4</v>
      </c>
      <c r="G97" s="89">
        <v>21</v>
      </c>
      <c r="H97" s="89">
        <v>25</v>
      </c>
      <c r="I97" s="89">
        <v>39</v>
      </c>
      <c r="J97" s="49">
        <f t="shared" si="4"/>
        <v>91</v>
      </c>
      <c r="K97" s="89">
        <v>263</v>
      </c>
      <c r="L97" s="89">
        <v>256</v>
      </c>
      <c r="M97" s="89">
        <v>181</v>
      </c>
      <c r="N97" s="89">
        <v>59</v>
      </c>
      <c r="O97" s="89">
        <v>10</v>
      </c>
      <c r="P97" s="90" t="s">
        <v>284</v>
      </c>
    </row>
    <row r="98" spans="2:16">
      <c r="B98" s="88"/>
      <c r="C98" s="49"/>
      <c r="D98" s="89"/>
      <c r="E98" s="89"/>
      <c r="F98" s="89"/>
      <c r="G98" s="89"/>
      <c r="H98" s="89"/>
      <c r="I98" s="89"/>
      <c r="J98" s="49"/>
      <c r="K98" s="89"/>
      <c r="L98" s="89"/>
      <c r="M98" s="89"/>
      <c r="N98" s="89"/>
      <c r="O98" s="89"/>
      <c r="P98" s="90"/>
    </row>
    <row r="99" spans="2:16">
      <c r="B99" s="88" t="s">
        <v>407</v>
      </c>
      <c r="C99" s="49">
        <f t="shared" si="3"/>
        <v>445</v>
      </c>
      <c r="D99" s="89" t="s">
        <v>284</v>
      </c>
      <c r="E99" s="89">
        <v>1</v>
      </c>
      <c r="F99" s="89" t="s">
        <v>284</v>
      </c>
      <c r="G99" s="89">
        <v>2</v>
      </c>
      <c r="H99" s="89">
        <v>6</v>
      </c>
      <c r="I99" s="89">
        <v>18</v>
      </c>
      <c r="J99" s="49">
        <f t="shared" si="4"/>
        <v>27</v>
      </c>
      <c r="K99" s="89">
        <v>148</v>
      </c>
      <c r="L99" s="89">
        <v>126</v>
      </c>
      <c r="M99" s="89">
        <v>85</v>
      </c>
      <c r="N99" s="89">
        <v>42</v>
      </c>
      <c r="O99" s="89">
        <v>17</v>
      </c>
      <c r="P99" s="90" t="s">
        <v>284</v>
      </c>
    </row>
    <row r="100" spans="2:16">
      <c r="B100" s="88" t="s">
        <v>408</v>
      </c>
      <c r="C100" s="49">
        <f t="shared" si="3"/>
        <v>66</v>
      </c>
      <c r="D100" s="89" t="s">
        <v>284</v>
      </c>
      <c r="E100" s="89" t="s">
        <v>284</v>
      </c>
      <c r="F100" s="89" t="s">
        <v>284</v>
      </c>
      <c r="G100" s="89" t="s">
        <v>284</v>
      </c>
      <c r="H100" s="89">
        <v>2</v>
      </c>
      <c r="I100" s="89">
        <v>4</v>
      </c>
      <c r="J100" s="49">
        <f t="shared" si="4"/>
        <v>6</v>
      </c>
      <c r="K100" s="89">
        <v>25</v>
      </c>
      <c r="L100" s="89">
        <v>27</v>
      </c>
      <c r="M100" s="89">
        <v>4</v>
      </c>
      <c r="N100" s="89">
        <v>3</v>
      </c>
      <c r="O100" s="89">
        <v>1</v>
      </c>
      <c r="P100" s="90" t="s">
        <v>284</v>
      </c>
    </row>
    <row r="101" spans="2:16">
      <c r="B101" s="88" t="s">
        <v>409</v>
      </c>
      <c r="C101" s="49">
        <f t="shared" si="3"/>
        <v>744</v>
      </c>
      <c r="D101" s="89" t="s">
        <v>284</v>
      </c>
      <c r="E101" s="89">
        <v>1</v>
      </c>
      <c r="F101" s="89">
        <v>4</v>
      </c>
      <c r="G101" s="89">
        <v>8</v>
      </c>
      <c r="H101" s="89">
        <v>17</v>
      </c>
      <c r="I101" s="89">
        <v>22</v>
      </c>
      <c r="J101" s="49">
        <f t="shared" si="4"/>
        <v>52</v>
      </c>
      <c r="K101" s="89">
        <v>204</v>
      </c>
      <c r="L101" s="89">
        <v>256</v>
      </c>
      <c r="M101" s="89">
        <v>165</v>
      </c>
      <c r="N101" s="89">
        <v>56</v>
      </c>
      <c r="O101" s="89">
        <v>11</v>
      </c>
      <c r="P101" s="90" t="s">
        <v>284</v>
      </c>
    </row>
    <row r="102" spans="2:16">
      <c r="B102" s="88" t="s">
        <v>410</v>
      </c>
      <c r="C102" s="49">
        <f t="shared" si="3"/>
        <v>549</v>
      </c>
      <c r="D102" s="89" t="s">
        <v>284</v>
      </c>
      <c r="E102" s="89">
        <v>2</v>
      </c>
      <c r="F102" s="89">
        <v>5</v>
      </c>
      <c r="G102" s="89">
        <v>4</v>
      </c>
      <c r="H102" s="89">
        <v>10</v>
      </c>
      <c r="I102" s="89">
        <v>20</v>
      </c>
      <c r="J102" s="49">
        <f t="shared" si="4"/>
        <v>41</v>
      </c>
      <c r="K102" s="89">
        <v>155</v>
      </c>
      <c r="L102" s="89">
        <v>176</v>
      </c>
      <c r="M102" s="89">
        <v>125</v>
      </c>
      <c r="N102" s="89">
        <v>41</v>
      </c>
      <c r="O102" s="89">
        <v>11</v>
      </c>
      <c r="P102" s="90" t="s">
        <v>284</v>
      </c>
    </row>
    <row r="103" spans="2:16">
      <c r="B103" s="88" t="s">
        <v>411</v>
      </c>
      <c r="C103" s="49">
        <f t="shared" si="3"/>
        <v>906</v>
      </c>
      <c r="D103" s="89" t="s">
        <v>284</v>
      </c>
      <c r="E103" s="89" t="s">
        <v>284</v>
      </c>
      <c r="F103" s="89">
        <v>10</v>
      </c>
      <c r="G103" s="89">
        <v>19</v>
      </c>
      <c r="H103" s="89">
        <v>24</v>
      </c>
      <c r="I103" s="89">
        <v>29</v>
      </c>
      <c r="J103" s="49">
        <f t="shared" si="4"/>
        <v>82</v>
      </c>
      <c r="K103" s="89">
        <v>241</v>
      </c>
      <c r="L103" s="89">
        <v>282</v>
      </c>
      <c r="M103" s="89">
        <v>212</v>
      </c>
      <c r="N103" s="89">
        <v>73</v>
      </c>
      <c r="O103" s="89">
        <v>16</v>
      </c>
      <c r="P103" s="90" t="s">
        <v>284</v>
      </c>
    </row>
    <row r="104" spans="2:16">
      <c r="B104" s="88"/>
      <c r="C104" s="49"/>
      <c r="D104" s="89"/>
      <c r="E104" s="89"/>
      <c r="F104" s="89"/>
      <c r="G104" s="89"/>
      <c r="H104" s="89"/>
      <c r="I104" s="89"/>
      <c r="J104" s="49"/>
      <c r="K104" s="89"/>
      <c r="L104" s="89"/>
      <c r="M104" s="89"/>
      <c r="N104" s="89"/>
      <c r="O104" s="89"/>
      <c r="P104" s="90"/>
    </row>
    <row r="105" spans="2:16">
      <c r="B105" s="88" t="s">
        <v>412</v>
      </c>
      <c r="C105" s="49">
        <f t="shared" si="3"/>
        <v>3662</v>
      </c>
      <c r="D105" s="89" t="s">
        <v>284</v>
      </c>
      <c r="E105" s="89">
        <v>4</v>
      </c>
      <c r="F105" s="89">
        <v>5</v>
      </c>
      <c r="G105" s="89">
        <v>17</v>
      </c>
      <c r="H105" s="89">
        <v>27</v>
      </c>
      <c r="I105" s="89">
        <v>64</v>
      </c>
      <c r="J105" s="49">
        <f t="shared" si="4"/>
        <v>117</v>
      </c>
      <c r="K105" s="89">
        <v>541</v>
      </c>
      <c r="L105" s="89">
        <v>930</v>
      </c>
      <c r="M105" s="89">
        <v>1291</v>
      </c>
      <c r="N105" s="89">
        <v>627</v>
      </c>
      <c r="O105" s="89">
        <v>156</v>
      </c>
      <c r="P105" s="90" t="s">
        <v>284</v>
      </c>
    </row>
    <row r="106" spans="2:16">
      <c r="B106" s="88" t="s">
        <v>413</v>
      </c>
      <c r="C106" s="49">
        <f t="shared" si="3"/>
        <v>23608</v>
      </c>
      <c r="D106" s="89">
        <v>36</v>
      </c>
      <c r="E106" s="89">
        <v>71</v>
      </c>
      <c r="F106" s="89">
        <v>195</v>
      </c>
      <c r="G106" s="89">
        <v>341</v>
      </c>
      <c r="H106" s="89">
        <v>589</v>
      </c>
      <c r="I106" s="89">
        <v>934</v>
      </c>
      <c r="J106" s="49">
        <f t="shared" si="4"/>
        <v>2130</v>
      </c>
      <c r="K106" s="89">
        <v>6753</v>
      </c>
      <c r="L106" s="89">
        <v>6427</v>
      </c>
      <c r="M106" s="89">
        <v>5195</v>
      </c>
      <c r="N106" s="89">
        <v>2439</v>
      </c>
      <c r="O106" s="89">
        <v>624</v>
      </c>
      <c r="P106" s="90">
        <v>4</v>
      </c>
    </row>
    <row r="107" spans="2:16">
      <c r="B107" s="88" t="s">
        <v>414</v>
      </c>
      <c r="C107" s="49">
        <f t="shared" si="3"/>
        <v>431</v>
      </c>
      <c r="D107" s="89">
        <v>1</v>
      </c>
      <c r="E107" s="89">
        <v>3</v>
      </c>
      <c r="F107" s="89">
        <v>3</v>
      </c>
      <c r="G107" s="89">
        <v>9</v>
      </c>
      <c r="H107" s="89">
        <v>8</v>
      </c>
      <c r="I107" s="89">
        <v>20</v>
      </c>
      <c r="J107" s="49">
        <f t="shared" si="4"/>
        <v>43</v>
      </c>
      <c r="K107" s="89">
        <v>137</v>
      </c>
      <c r="L107" s="89">
        <v>119</v>
      </c>
      <c r="M107" s="89">
        <v>87</v>
      </c>
      <c r="N107" s="89">
        <v>35</v>
      </c>
      <c r="O107" s="89">
        <v>9</v>
      </c>
      <c r="P107" s="90" t="s">
        <v>284</v>
      </c>
    </row>
    <row r="108" spans="2:16">
      <c r="B108" s="88" t="s">
        <v>415</v>
      </c>
      <c r="C108" s="49">
        <f t="shared" si="3"/>
        <v>1</v>
      </c>
      <c r="D108" s="89" t="s">
        <v>284</v>
      </c>
      <c r="E108" s="89" t="s">
        <v>284</v>
      </c>
      <c r="F108" s="89" t="s">
        <v>284</v>
      </c>
      <c r="G108" s="89" t="s">
        <v>284</v>
      </c>
      <c r="H108" s="89" t="s">
        <v>284</v>
      </c>
      <c r="I108" s="89" t="s">
        <v>284</v>
      </c>
      <c r="J108" s="89" t="s">
        <v>284</v>
      </c>
      <c r="K108" s="89" t="s">
        <v>284</v>
      </c>
      <c r="L108" s="89">
        <v>1</v>
      </c>
      <c r="M108" s="89" t="s">
        <v>284</v>
      </c>
      <c r="N108" s="89" t="s">
        <v>284</v>
      </c>
      <c r="O108" s="89" t="s">
        <v>284</v>
      </c>
      <c r="P108" s="89" t="s">
        <v>284</v>
      </c>
    </row>
    <row r="109" spans="2:16">
      <c r="B109" s="65"/>
      <c r="C109" s="65"/>
      <c r="D109" s="65"/>
      <c r="E109" s="65"/>
      <c r="F109" s="65"/>
      <c r="G109" s="65"/>
      <c r="H109" s="65"/>
      <c r="I109" s="65"/>
      <c r="J109" s="65"/>
      <c r="K109" s="65"/>
      <c r="L109" s="65"/>
      <c r="M109" s="65"/>
      <c r="N109" s="65"/>
      <c r="O109" s="65"/>
      <c r="P109" s="65"/>
    </row>
    <row r="110" spans="2:16">
      <c r="B110" s="14"/>
      <c r="C110" s="14"/>
      <c r="D110" s="14"/>
      <c r="E110" s="14"/>
      <c r="F110" s="14"/>
      <c r="G110" s="14"/>
      <c r="H110" s="14"/>
      <c r="I110" s="14"/>
      <c r="J110" s="14"/>
      <c r="K110" s="14"/>
      <c r="L110" s="14"/>
      <c r="M110" s="14"/>
      <c r="N110" s="14"/>
      <c r="O110" s="14"/>
      <c r="P110" s="14"/>
    </row>
    <row r="111" spans="2:16">
      <c r="B111" s="2" t="s">
        <v>610</v>
      </c>
    </row>
  </sheetData>
  <mergeCells count="2">
    <mergeCell ref="B5:B6"/>
    <mergeCell ref="C5:C6"/>
  </mergeCells>
  <phoneticPr fontId="1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9"/>
  <sheetViews>
    <sheetView workbookViewId="0"/>
  </sheetViews>
  <sheetFormatPr defaultRowHeight="15"/>
  <cols>
    <col min="1" max="1" width="9.33203125" style="2"/>
    <col min="2" max="2" width="32" style="2" customWidth="1"/>
    <col min="3" max="3" width="14.83203125" style="2" customWidth="1"/>
    <col min="4" max="16384" width="9.33203125" style="2"/>
  </cols>
  <sheetData>
    <row r="1" spans="2:14" ht="15.75">
      <c r="B1" s="1"/>
    </row>
    <row r="2" spans="2:14">
      <c r="B2" s="322" t="s">
        <v>438</v>
      </c>
      <c r="C2" s="322"/>
      <c r="D2" s="322"/>
      <c r="E2" s="322"/>
      <c r="F2" s="322"/>
      <c r="G2" s="4"/>
      <c r="H2" s="4"/>
    </row>
    <row r="3" spans="2:14" ht="15.75">
      <c r="B3" s="321" t="s">
        <v>439</v>
      </c>
      <c r="C3" s="321"/>
      <c r="D3" s="321"/>
      <c r="E3" s="321"/>
      <c r="F3" s="321"/>
      <c r="G3" s="4"/>
      <c r="H3" s="4"/>
    </row>
    <row r="4" spans="2:14">
      <c r="B4" s="323" t="s">
        <v>567</v>
      </c>
      <c r="C4" s="323"/>
      <c r="D4" s="323"/>
      <c r="E4" s="323"/>
      <c r="F4" s="323"/>
      <c r="G4" s="4"/>
      <c r="H4" s="4"/>
    </row>
    <row r="5" spans="2:14">
      <c r="B5" s="302" t="s">
        <v>440</v>
      </c>
      <c r="C5" s="302" t="s">
        <v>173</v>
      </c>
      <c r="D5" s="302" t="s">
        <v>172</v>
      </c>
      <c r="E5" s="328" t="s">
        <v>327</v>
      </c>
      <c r="F5" s="329"/>
      <c r="G5" s="242"/>
      <c r="H5" s="242"/>
      <c r="I5" s="14"/>
      <c r="K5" s="216"/>
      <c r="L5" s="216"/>
      <c r="M5" s="216"/>
      <c r="N5" s="216"/>
    </row>
    <row r="6" spans="2:14">
      <c r="B6" s="283"/>
      <c r="C6" s="324"/>
      <c r="D6" s="283"/>
      <c r="E6" s="111" t="s">
        <v>441</v>
      </c>
      <c r="F6" s="229" t="s">
        <v>277</v>
      </c>
      <c r="G6" s="245"/>
      <c r="H6" s="245"/>
      <c r="I6" s="14"/>
    </row>
    <row r="7" spans="2:14" ht="15" customHeight="1">
      <c r="B7" s="131" t="s">
        <v>442</v>
      </c>
      <c r="C7" s="95">
        <v>255</v>
      </c>
      <c r="D7" s="95">
        <v>332</v>
      </c>
      <c r="E7" s="89" t="s">
        <v>284</v>
      </c>
      <c r="F7" s="89" t="s">
        <v>284</v>
      </c>
      <c r="G7" s="243"/>
      <c r="H7" s="240"/>
      <c r="I7" s="14"/>
    </row>
    <row r="8" spans="2:14" ht="15" customHeight="1">
      <c r="B8" s="131" t="s">
        <v>443</v>
      </c>
      <c r="C8" s="49">
        <v>1160</v>
      </c>
      <c r="D8" s="49">
        <v>546</v>
      </c>
      <c r="E8" s="49">
        <v>5</v>
      </c>
      <c r="F8" s="246" t="s">
        <v>292</v>
      </c>
      <c r="G8" s="243"/>
      <c r="H8" s="241"/>
      <c r="I8" s="14"/>
    </row>
    <row r="9" spans="2:14" ht="15" customHeight="1">
      <c r="B9" s="132" t="s">
        <v>444</v>
      </c>
      <c r="C9" s="49">
        <v>1085</v>
      </c>
      <c r="D9" s="49">
        <v>598</v>
      </c>
      <c r="E9" s="49">
        <v>10</v>
      </c>
      <c r="F9" s="102">
        <v>9.1999999999999993</v>
      </c>
      <c r="G9" s="243"/>
      <c r="H9" s="241"/>
      <c r="I9" s="14"/>
    </row>
    <row r="10" spans="2:14" ht="15" customHeight="1">
      <c r="B10" s="131" t="s">
        <v>445</v>
      </c>
      <c r="C10" s="49">
        <v>457</v>
      </c>
      <c r="D10" s="49">
        <v>380</v>
      </c>
      <c r="E10" s="89" t="s">
        <v>284</v>
      </c>
      <c r="F10" s="89" t="s">
        <v>284</v>
      </c>
      <c r="G10" s="243"/>
      <c r="H10" s="240"/>
      <c r="I10" s="14"/>
    </row>
    <row r="11" spans="2:14" ht="15" customHeight="1">
      <c r="B11" s="131" t="s">
        <v>446</v>
      </c>
      <c r="C11" s="49">
        <v>64</v>
      </c>
      <c r="D11" s="49">
        <v>291</v>
      </c>
      <c r="E11" s="89">
        <v>3</v>
      </c>
      <c r="F11" s="246" t="s">
        <v>292</v>
      </c>
      <c r="G11" s="243"/>
      <c r="H11" s="244"/>
      <c r="I11" s="14"/>
    </row>
    <row r="12" spans="2:14" ht="15" customHeight="1">
      <c r="B12" s="131" t="s">
        <v>447</v>
      </c>
      <c r="C12" s="49">
        <v>157</v>
      </c>
      <c r="D12" s="49">
        <v>247</v>
      </c>
      <c r="E12" s="89">
        <v>1</v>
      </c>
      <c r="F12" s="246" t="s">
        <v>292</v>
      </c>
      <c r="G12" s="243"/>
      <c r="H12" s="244"/>
      <c r="I12" s="14"/>
    </row>
    <row r="13" spans="2:14" ht="15" customHeight="1">
      <c r="B13" s="131" t="s">
        <v>448</v>
      </c>
      <c r="C13" s="49">
        <v>323</v>
      </c>
      <c r="D13" s="49">
        <v>345</v>
      </c>
      <c r="E13" s="49">
        <v>4</v>
      </c>
      <c r="F13" s="246" t="s">
        <v>292</v>
      </c>
      <c r="G13" s="243"/>
      <c r="H13" s="240"/>
      <c r="I13" s="14"/>
    </row>
    <row r="14" spans="2:14" ht="15" customHeight="1">
      <c r="B14" s="131" t="s">
        <v>449</v>
      </c>
      <c r="C14" s="49">
        <v>1091</v>
      </c>
      <c r="D14" s="49">
        <v>530</v>
      </c>
      <c r="E14" s="49">
        <v>4</v>
      </c>
      <c r="F14" s="246" t="s">
        <v>292</v>
      </c>
      <c r="G14" s="243"/>
      <c r="H14" s="240"/>
      <c r="I14" s="14"/>
    </row>
    <row r="15" spans="2:14" ht="15" customHeight="1">
      <c r="B15" s="131" t="s">
        <v>450</v>
      </c>
      <c r="C15" s="49">
        <v>451</v>
      </c>
      <c r="D15" s="49">
        <v>288</v>
      </c>
      <c r="E15" s="49">
        <v>2</v>
      </c>
      <c r="F15" s="246" t="s">
        <v>292</v>
      </c>
      <c r="G15" s="243"/>
      <c r="H15" s="240"/>
      <c r="I15" s="14"/>
    </row>
    <row r="16" spans="2:14" ht="15" customHeight="1">
      <c r="B16" s="131" t="s">
        <v>451</v>
      </c>
      <c r="C16" s="49">
        <v>1124</v>
      </c>
      <c r="D16" s="49">
        <v>1162</v>
      </c>
      <c r="E16" s="49">
        <v>8</v>
      </c>
      <c r="F16" s="246">
        <v>7.1</v>
      </c>
      <c r="G16" s="243"/>
      <c r="H16" s="241"/>
      <c r="I16" s="14"/>
    </row>
    <row r="17" spans="2:9" ht="15" customHeight="1">
      <c r="B17" s="131" t="s">
        <v>452</v>
      </c>
      <c r="C17" s="49">
        <v>329</v>
      </c>
      <c r="D17" s="49">
        <v>246</v>
      </c>
      <c r="E17" s="89">
        <v>2</v>
      </c>
      <c r="F17" s="246" t="s">
        <v>292</v>
      </c>
      <c r="G17" s="243"/>
      <c r="H17" s="240"/>
      <c r="I17" s="14"/>
    </row>
    <row r="18" spans="2:9" ht="15" customHeight="1">
      <c r="B18" s="131" t="s">
        <v>453</v>
      </c>
      <c r="C18" s="49">
        <v>1636</v>
      </c>
      <c r="D18" s="49">
        <v>797</v>
      </c>
      <c r="E18" s="49">
        <v>13</v>
      </c>
      <c r="F18" s="102">
        <v>7.9</v>
      </c>
      <c r="G18" s="243"/>
      <c r="H18" s="241"/>
      <c r="I18" s="14"/>
    </row>
    <row r="19" spans="2:9" ht="15" customHeight="1">
      <c r="B19" s="131" t="s">
        <v>454</v>
      </c>
      <c r="C19" s="49">
        <v>791</v>
      </c>
      <c r="D19" s="49">
        <v>641</v>
      </c>
      <c r="E19" s="49">
        <v>3</v>
      </c>
      <c r="F19" s="246" t="s">
        <v>292</v>
      </c>
      <c r="G19" s="243"/>
      <c r="H19" s="240"/>
      <c r="I19" s="14"/>
    </row>
    <row r="20" spans="2:9" ht="15" customHeight="1">
      <c r="B20" s="131" t="s">
        <v>455</v>
      </c>
      <c r="C20" s="49">
        <v>300</v>
      </c>
      <c r="D20" s="49">
        <v>280</v>
      </c>
      <c r="E20" s="89">
        <v>4</v>
      </c>
      <c r="F20" s="246" t="s">
        <v>292</v>
      </c>
      <c r="G20" s="243"/>
      <c r="H20" s="244"/>
      <c r="I20" s="14"/>
    </row>
    <row r="21" spans="2:9" ht="15" customHeight="1">
      <c r="B21" s="131" t="s">
        <v>456</v>
      </c>
      <c r="C21" s="49">
        <v>10055</v>
      </c>
      <c r="D21" s="49">
        <v>7307</v>
      </c>
      <c r="E21" s="49">
        <v>134</v>
      </c>
      <c r="F21" s="102">
        <v>13.3</v>
      </c>
      <c r="G21" s="243"/>
      <c r="H21" s="241"/>
      <c r="I21" s="14"/>
    </row>
    <row r="22" spans="2:9" ht="15" customHeight="1">
      <c r="B22" s="131" t="s">
        <v>457</v>
      </c>
      <c r="C22" s="49">
        <v>237</v>
      </c>
      <c r="D22" s="49">
        <v>192</v>
      </c>
      <c r="E22" s="49">
        <v>1</v>
      </c>
      <c r="F22" s="246" t="s">
        <v>292</v>
      </c>
      <c r="G22" s="243"/>
      <c r="H22" s="240"/>
      <c r="I22" s="14"/>
    </row>
    <row r="23" spans="2:9" ht="15" customHeight="1">
      <c r="B23" s="131" t="s">
        <v>458</v>
      </c>
      <c r="C23" s="49">
        <v>872</v>
      </c>
      <c r="D23" s="49">
        <v>776</v>
      </c>
      <c r="E23" s="49">
        <v>7</v>
      </c>
      <c r="F23" s="246">
        <v>8</v>
      </c>
      <c r="G23" s="243"/>
      <c r="H23" s="240"/>
      <c r="I23" s="14"/>
    </row>
    <row r="24" spans="2:9" ht="15" customHeight="1">
      <c r="B24" s="131" t="s">
        <v>459</v>
      </c>
      <c r="C24" s="49">
        <v>261</v>
      </c>
      <c r="D24" s="49">
        <v>177</v>
      </c>
      <c r="E24" s="89" t="s">
        <v>284</v>
      </c>
      <c r="F24" s="89" t="s">
        <v>284</v>
      </c>
      <c r="G24" s="243"/>
      <c r="H24" s="240"/>
      <c r="I24" s="14"/>
    </row>
    <row r="25" spans="2:9" ht="15" customHeight="1">
      <c r="B25" s="131" t="s">
        <v>460</v>
      </c>
      <c r="C25" s="49">
        <v>2063</v>
      </c>
      <c r="D25" s="49">
        <v>1061</v>
      </c>
      <c r="E25" s="49">
        <v>19</v>
      </c>
      <c r="F25" s="102">
        <v>9.1999999999999993</v>
      </c>
      <c r="G25" s="243"/>
      <c r="H25" s="241"/>
      <c r="I25" s="14"/>
    </row>
    <row r="26" spans="2:9" ht="15" customHeight="1">
      <c r="B26" s="131" t="s">
        <v>461</v>
      </c>
      <c r="C26" s="49">
        <v>161</v>
      </c>
      <c r="D26" s="49">
        <v>416</v>
      </c>
      <c r="E26" s="89" t="s">
        <v>284</v>
      </c>
      <c r="F26" s="89" t="s">
        <v>284</v>
      </c>
      <c r="G26" s="243"/>
      <c r="H26" s="244"/>
      <c r="I26" s="14"/>
    </row>
    <row r="27" spans="2:9" ht="15" customHeight="1">
      <c r="B27" s="131" t="s">
        <v>462</v>
      </c>
      <c r="C27" s="49">
        <v>307</v>
      </c>
      <c r="D27" s="49">
        <v>307</v>
      </c>
      <c r="E27" s="89">
        <v>1</v>
      </c>
      <c r="F27" s="246" t="s">
        <v>292</v>
      </c>
      <c r="G27" s="243"/>
      <c r="H27" s="240"/>
      <c r="I27" s="14"/>
    </row>
    <row r="28" spans="2:9" ht="15" customHeight="1">
      <c r="B28" s="131" t="s">
        <v>463</v>
      </c>
      <c r="C28" s="49">
        <v>570</v>
      </c>
      <c r="D28" s="49">
        <v>284</v>
      </c>
      <c r="E28" s="49">
        <v>5</v>
      </c>
      <c r="F28" s="246" t="s">
        <v>292</v>
      </c>
      <c r="G28" s="243"/>
      <c r="H28" s="244"/>
      <c r="I28" s="14"/>
    </row>
    <row r="29" spans="2:9" ht="15" customHeight="1">
      <c r="B29" s="131" t="s">
        <v>464</v>
      </c>
      <c r="C29" s="49">
        <v>250</v>
      </c>
      <c r="D29" s="49">
        <v>290</v>
      </c>
      <c r="E29" s="49">
        <v>3</v>
      </c>
      <c r="F29" s="246" t="s">
        <v>292</v>
      </c>
      <c r="G29" s="243"/>
      <c r="H29" s="240"/>
      <c r="I29" s="14"/>
    </row>
    <row r="30" spans="2:9" ht="15" customHeight="1">
      <c r="B30" s="131" t="s">
        <v>465</v>
      </c>
      <c r="C30" s="49">
        <v>3606</v>
      </c>
      <c r="D30" s="49">
        <v>1831</v>
      </c>
      <c r="E30" s="49">
        <v>19</v>
      </c>
      <c r="F30" s="102">
        <v>5.3</v>
      </c>
      <c r="G30" s="243"/>
      <c r="H30" s="241"/>
      <c r="I30" s="14"/>
    </row>
    <row r="31" spans="2:9" ht="15" customHeight="1">
      <c r="B31" s="131" t="s">
        <v>466</v>
      </c>
      <c r="C31" s="49">
        <v>136</v>
      </c>
      <c r="D31" s="49">
        <v>156</v>
      </c>
      <c r="E31" s="89">
        <v>2</v>
      </c>
      <c r="F31" s="246" t="s">
        <v>292</v>
      </c>
      <c r="G31" s="243"/>
      <c r="H31" s="240"/>
      <c r="I31" s="14"/>
    </row>
    <row r="32" spans="2:9" ht="15" customHeight="1">
      <c r="B32" s="131" t="s">
        <v>467</v>
      </c>
      <c r="C32" s="49">
        <v>577</v>
      </c>
      <c r="D32" s="49">
        <v>401</v>
      </c>
      <c r="E32" s="49">
        <v>3</v>
      </c>
      <c r="F32" s="246" t="s">
        <v>292</v>
      </c>
      <c r="G32" s="243"/>
      <c r="H32" s="240"/>
      <c r="I32" s="14"/>
    </row>
    <row r="33" spans="2:9" ht="15" customHeight="1">
      <c r="B33" s="131" t="s">
        <v>468</v>
      </c>
      <c r="C33" s="49">
        <v>526</v>
      </c>
      <c r="D33" s="49">
        <v>172</v>
      </c>
      <c r="E33" s="49">
        <v>6</v>
      </c>
      <c r="F33" s="246">
        <v>11.4</v>
      </c>
      <c r="G33" s="243"/>
      <c r="H33" s="244"/>
      <c r="I33" s="14"/>
    </row>
    <row r="34" spans="2:9" ht="15" customHeight="1">
      <c r="B34" s="131" t="s">
        <v>469</v>
      </c>
      <c r="C34" s="49">
        <v>410</v>
      </c>
      <c r="D34" s="49">
        <v>238</v>
      </c>
      <c r="E34" s="49">
        <v>5</v>
      </c>
      <c r="F34" s="246" t="s">
        <v>292</v>
      </c>
      <c r="G34" s="243"/>
      <c r="H34" s="240"/>
      <c r="I34" s="14"/>
    </row>
    <row r="35" spans="2:9" ht="15" customHeight="1">
      <c r="B35" s="131" t="s">
        <v>369</v>
      </c>
      <c r="C35" s="49">
        <v>692</v>
      </c>
      <c r="D35" s="49">
        <v>354</v>
      </c>
      <c r="E35" s="49">
        <v>10</v>
      </c>
      <c r="F35" s="246">
        <v>14.5</v>
      </c>
      <c r="G35" s="243"/>
      <c r="H35" s="240"/>
      <c r="I35" s="14"/>
    </row>
    <row r="36" spans="2:9" ht="15" customHeight="1">
      <c r="B36" s="131" t="s">
        <v>370</v>
      </c>
      <c r="C36" s="49">
        <v>1672</v>
      </c>
      <c r="D36" s="49">
        <v>601</v>
      </c>
      <c r="E36" s="49">
        <v>9</v>
      </c>
      <c r="F36" s="102">
        <v>5.4</v>
      </c>
      <c r="G36" s="243"/>
      <c r="H36" s="241"/>
      <c r="I36" s="14"/>
    </row>
    <row r="37" spans="2:9" ht="15" customHeight="1">
      <c r="B37" s="131" t="s">
        <v>470</v>
      </c>
      <c r="C37" s="49">
        <v>689</v>
      </c>
      <c r="D37" s="49">
        <v>280</v>
      </c>
      <c r="E37" s="49">
        <v>2</v>
      </c>
      <c r="F37" s="246" t="s">
        <v>292</v>
      </c>
      <c r="G37" s="243"/>
      <c r="H37" s="241"/>
      <c r="I37" s="14"/>
    </row>
    <row r="38" spans="2:9" ht="15" customHeight="1">
      <c r="B38" s="131" t="s">
        <v>471</v>
      </c>
      <c r="C38" s="49">
        <v>1948</v>
      </c>
      <c r="D38" s="49">
        <v>1016</v>
      </c>
      <c r="E38" s="49">
        <v>18</v>
      </c>
      <c r="F38" s="102">
        <v>9.1999999999999993</v>
      </c>
      <c r="G38" s="243"/>
      <c r="H38" s="241"/>
      <c r="I38" s="14"/>
    </row>
    <row r="39" spans="2:9" ht="15" customHeight="1">
      <c r="B39" s="131" t="s">
        <v>472</v>
      </c>
      <c r="C39" s="49">
        <v>549</v>
      </c>
      <c r="D39" s="49">
        <v>400</v>
      </c>
      <c r="E39" s="49">
        <v>2</v>
      </c>
      <c r="F39" s="246" t="s">
        <v>292</v>
      </c>
      <c r="G39" s="243"/>
      <c r="H39" s="240"/>
      <c r="I39" s="14"/>
    </row>
    <row r="40" spans="2:9" ht="15" customHeight="1">
      <c r="B40" s="131" t="s">
        <v>473</v>
      </c>
      <c r="C40" s="49">
        <v>876</v>
      </c>
      <c r="D40" s="49">
        <v>1013</v>
      </c>
      <c r="E40" s="49">
        <v>9</v>
      </c>
      <c r="F40" s="246">
        <v>10.3</v>
      </c>
      <c r="G40" s="243"/>
      <c r="H40" s="240"/>
      <c r="I40" s="14"/>
    </row>
    <row r="41" spans="2:9" ht="15" customHeight="1">
      <c r="B41" s="131" t="s">
        <v>474</v>
      </c>
      <c r="C41" s="49">
        <v>854</v>
      </c>
      <c r="D41" s="49">
        <v>465</v>
      </c>
      <c r="E41" s="49">
        <v>9</v>
      </c>
      <c r="F41" s="246">
        <v>10.5</v>
      </c>
      <c r="G41" s="243"/>
      <c r="H41" s="240"/>
      <c r="I41" s="14"/>
    </row>
    <row r="42" spans="2:9" ht="15" customHeight="1">
      <c r="B42" s="131" t="s">
        <v>475</v>
      </c>
      <c r="C42" s="49">
        <v>361</v>
      </c>
      <c r="D42" s="49">
        <v>297</v>
      </c>
      <c r="E42" s="89">
        <v>4</v>
      </c>
      <c r="F42" s="246" t="s">
        <v>292</v>
      </c>
      <c r="G42" s="243"/>
      <c r="H42" s="240"/>
      <c r="I42" s="14"/>
    </row>
    <row r="43" spans="2:9" ht="15" customHeight="1">
      <c r="B43" s="131" t="s">
        <v>476</v>
      </c>
      <c r="C43" s="49">
        <v>337</v>
      </c>
      <c r="D43" s="49">
        <v>284</v>
      </c>
      <c r="E43" s="49">
        <v>1</v>
      </c>
      <c r="F43" s="246" t="s">
        <v>292</v>
      </c>
      <c r="G43" s="243"/>
      <c r="H43" s="240"/>
      <c r="I43" s="14"/>
    </row>
    <row r="44" spans="2:9" ht="15" customHeight="1">
      <c r="B44" s="131" t="s">
        <v>387</v>
      </c>
      <c r="C44" s="49">
        <v>452</v>
      </c>
      <c r="D44" s="49">
        <v>409</v>
      </c>
      <c r="E44" s="49">
        <v>6</v>
      </c>
      <c r="F44" s="246">
        <v>13.3</v>
      </c>
      <c r="G44" s="243"/>
      <c r="H44" s="240"/>
      <c r="I44" s="14"/>
    </row>
    <row r="45" spans="2:9" ht="15" customHeight="1">
      <c r="B45" s="131" t="s">
        <v>477</v>
      </c>
      <c r="C45" s="49">
        <v>69</v>
      </c>
      <c r="D45" s="49">
        <v>243</v>
      </c>
      <c r="E45" s="49">
        <v>3</v>
      </c>
      <c r="F45" s="246" t="s">
        <v>292</v>
      </c>
      <c r="G45" s="243"/>
      <c r="H45" s="244"/>
      <c r="I45" s="14"/>
    </row>
    <row r="46" spans="2:9" ht="15" customHeight="1">
      <c r="B46" s="131" t="s">
        <v>478</v>
      </c>
      <c r="C46" s="49">
        <v>265</v>
      </c>
      <c r="D46" s="49">
        <v>125</v>
      </c>
      <c r="E46" s="49">
        <v>1</v>
      </c>
      <c r="F46" s="246" t="s">
        <v>292</v>
      </c>
      <c r="G46" s="243"/>
      <c r="H46" s="240"/>
      <c r="I46" s="14"/>
    </row>
    <row r="47" spans="2:9" ht="15" customHeight="1">
      <c r="B47" s="131" t="s">
        <v>392</v>
      </c>
      <c r="C47" s="49">
        <v>798</v>
      </c>
      <c r="D47" s="49">
        <v>435</v>
      </c>
      <c r="E47" s="49">
        <v>12</v>
      </c>
      <c r="F47" s="102">
        <v>15</v>
      </c>
      <c r="G47" s="243"/>
      <c r="H47" s="240"/>
      <c r="I47" s="14"/>
    </row>
    <row r="48" spans="2:9" ht="15" customHeight="1">
      <c r="B48" s="132" t="s">
        <v>479</v>
      </c>
      <c r="C48" s="49">
        <v>610</v>
      </c>
      <c r="D48" s="49">
        <v>425</v>
      </c>
      <c r="E48" s="49">
        <v>5</v>
      </c>
      <c r="F48" s="246" t="s">
        <v>292</v>
      </c>
      <c r="G48" s="243"/>
      <c r="H48" s="240"/>
      <c r="I48" s="14"/>
    </row>
    <row r="49" spans="2:9" ht="15" customHeight="1">
      <c r="B49" s="131" t="s">
        <v>480</v>
      </c>
      <c r="C49" s="49">
        <v>381</v>
      </c>
      <c r="D49" s="49">
        <v>281</v>
      </c>
      <c r="E49" s="49">
        <v>4</v>
      </c>
      <c r="F49" s="246" t="s">
        <v>292</v>
      </c>
      <c r="G49" s="243"/>
      <c r="H49" s="241"/>
      <c r="I49" s="14"/>
    </row>
    <row r="50" spans="2:9" ht="15" customHeight="1">
      <c r="B50" s="133" t="s">
        <v>481</v>
      </c>
      <c r="C50" s="49">
        <v>147</v>
      </c>
      <c r="D50" s="49">
        <v>163</v>
      </c>
      <c r="E50" s="49">
        <v>2</v>
      </c>
      <c r="F50" s="246" t="s">
        <v>292</v>
      </c>
      <c r="G50" s="243"/>
      <c r="H50" s="240"/>
      <c r="I50" s="14"/>
    </row>
    <row r="51" spans="2:9" ht="15" customHeight="1">
      <c r="B51" s="133" t="s">
        <v>482</v>
      </c>
      <c r="C51" s="49">
        <v>386</v>
      </c>
      <c r="D51" s="49">
        <v>163</v>
      </c>
      <c r="E51" s="49">
        <v>1</v>
      </c>
      <c r="F51" s="246" t="s">
        <v>292</v>
      </c>
      <c r="G51" s="243"/>
      <c r="H51" s="244"/>
      <c r="I51" s="14"/>
    </row>
    <row r="52" spans="2:9" ht="15" customHeight="1">
      <c r="B52" s="133" t="s">
        <v>483</v>
      </c>
      <c r="C52" s="49">
        <v>286</v>
      </c>
      <c r="D52" s="49">
        <v>176</v>
      </c>
      <c r="E52" s="89">
        <v>2</v>
      </c>
      <c r="F52" s="246" t="s">
        <v>292</v>
      </c>
      <c r="G52" s="243"/>
      <c r="H52" s="240"/>
      <c r="I52" s="14"/>
    </row>
    <row r="53" spans="2:9" ht="15" customHeight="1">
      <c r="B53" s="133" t="s">
        <v>484</v>
      </c>
      <c r="C53" s="49">
        <v>142</v>
      </c>
      <c r="D53" s="49">
        <v>232</v>
      </c>
      <c r="E53" s="90">
        <v>2</v>
      </c>
      <c r="F53" s="246" t="s">
        <v>292</v>
      </c>
      <c r="G53" s="243"/>
      <c r="H53" s="240"/>
      <c r="I53" s="14"/>
    </row>
    <row r="54" spans="2:9" ht="15" customHeight="1">
      <c r="B54" s="131" t="s">
        <v>485</v>
      </c>
      <c r="C54" s="49">
        <v>1128</v>
      </c>
      <c r="D54" s="49">
        <v>537</v>
      </c>
      <c r="E54" s="49">
        <v>15</v>
      </c>
      <c r="F54" s="102">
        <v>13.3</v>
      </c>
      <c r="G54" s="243"/>
      <c r="H54" s="241"/>
      <c r="I54" s="14"/>
    </row>
    <row r="55" spans="2:9" ht="15" customHeight="1">
      <c r="B55" s="131" t="s">
        <v>486</v>
      </c>
      <c r="C55" s="49">
        <v>600</v>
      </c>
      <c r="D55" s="49">
        <v>379</v>
      </c>
      <c r="E55" s="49">
        <v>6</v>
      </c>
      <c r="F55" s="246">
        <v>10</v>
      </c>
      <c r="G55" s="243"/>
      <c r="H55" s="240"/>
      <c r="I55" s="14"/>
    </row>
    <row r="56" spans="2:9" ht="15" customHeight="1">
      <c r="B56" s="131" t="s">
        <v>487</v>
      </c>
      <c r="C56" s="49">
        <v>524</v>
      </c>
      <c r="D56" s="49">
        <v>362</v>
      </c>
      <c r="E56" s="49">
        <v>1</v>
      </c>
      <c r="F56" s="246" t="s">
        <v>292</v>
      </c>
      <c r="G56" s="243"/>
      <c r="H56" s="240"/>
      <c r="I56" s="14"/>
    </row>
    <row r="57" spans="2:9" ht="15" customHeight="1">
      <c r="B57" s="131" t="s">
        <v>488</v>
      </c>
      <c r="C57" s="49">
        <v>599</v>
      </c>
      <c r="D57" s="49">
        <v>512</v>
      </c>
      <c r="E57" s="49">
        <v>3</v>
      </c>
      <c r="F57" s="246" t="s">
        <v>292</v>
      </c>
      <c r="G57" s="243"/>
      <c r="H57" s="240"/>
      <c r="I57" s="14"/>
    </row>
    <row r="58" spans="2:9" ht="15" customHeight="1">
      <c r="B58" s="131" t="s">
        <v>489</v>
      </c>
      <c r="C58" s="49">
        <v>771</v>
      </c>
      <c r="D58" s="49">
        <v>541</v>
      </c>
      <c r="E58" s="49">
        <v>4</v>
      </c>
      <c r="F58" s="246" t="s">
        <v>292</v>
      </c>
      <c r="G58" s="243"/>
      <c r="H58" s="240"/>
      <c r="I58" s="14"/>
    </row>
    <row r="59" spans="2:9" ht="15" customHeight="1">
      <c r="B59" s="131" t="s">
        <v>490</v>
      </c>
      <c r="C59" s="49">
        <v>648</v>
      </c>
      <c r="D59" s="49">
        <v>532</v>
      </c>
      <c r="E59" s="49">
        <v>3</v>
      </c>
      <c r="F59" s="246" t="s">
        <v>292</v>
      </c>
      <c r="G59" s="243"/>
      <c r="H59" s="240"/>
      <c r="I59" s="14"/>
    </row>
    <row r="60" spans="2:9" ht="15" customHeight="1">
      <c r="B60" s="131" t="s">
        <v>491</v>
      </c>
      <c r="C60" s="49">
        <v>712</v>
      </c>
      <c r="D60" s="49">
        <v>461</v>
      </c>
      <c r="E60" s="89">
        <v>4</v>
      </c>
      <c r="F60" s="246" t="s">
        <v>292</v>
      </c>
      <c r="G60" s="243"/>
      <c r="H60" s="240"/>
      <c r="I60" s="14"/>
    </row>
    <row r="61" spans="2:9" ht="15" customHeight="1">
      <c r="B61" s="131" t="s">
        <v>404</v>
      </c>
      <c r="C61" s="49">
        <v>913</v>
      </c>
      <c r="D61" s="49">
        <v>661</v>
      </c>
      <c r="E61" s="49">
        <v>14</v>
      </c>
      <c r="F61" s="102">
        <v>15.3</v>
      </c>
      <c r="G61" s="243"/>
      <c r="H61" s="241"/>
      <c r="I61" s="14"/>
    </row>
    <row r="62" spans="2:9" ht="15" customHeight="1">
      <c r="B62" s="131" t="s">
        <v>492</v>
      </c>
      <c r="C62" s="49">
        <v>434</v>
      </c>
      <c r="D62" s="49">
        <v>383</v>
      </c>
      <c r="E62" s="49">
        <v>1</v>
      </c>
      <c r="F62" s="246" t="s">
        <v>292</v>
      </c>
      <c r="G62" s="243"/>
      <c r="H62" s="240"/>
      <c r="I62" s="14"/>
    </row>
    <row r="63" spans="2:9" ht="15" customHeight="1">
      <c r="B63" s="131" t="s">
        <v>493</v>
      </c>
      <c r="C63" s="49">
        <v>591</v>
      </c>
      <c r="D63" s="49">
        <v>770</v>
      </c>
      <c r="E63" s="49">
        <v>3</v>
      </c>
      <c r="F63" s="246" t="s">
        <v>292</v>
      </c>
      <c r="G63" s="243"/>
      <c r="H63" s="240"/>
      <c r="I63" s="14"/>
    </row>
    <row r="64" spans="2:9" ht="15" customHeight="1">
      <c r="B64" s="131" t="s">
        <v>494</v>
      </c>
      <c r="C64" s="49">
        <v>774</v>
      </c>
      <c r="D64" s="49">
        <v>621</v>
      </c>
      <c r="E64" s="49">
        <v>3</v>
      </c>
      <c r="F64" s="246" t="s">
        <v>292</v>
      </c>
      <c r="G64" s="243"/>
      <c r="H64" s="240"/>
      <c r="I64" s="14"/>
    </row>
    <row r="65" spans="2:9" ht="15" customHeight="1">
      <c r="B65" s="131" t="s">
        <v>495</v>
      </c>
      <c r="C65" s="49">
        <v>801</v>
      </c>
      <c r="D65" s="49">
        <v>768</v>
      </c>
      <c r="E65" s="49">
        <v>6</v>
      </c>
      <c r="F65" s="102">
        <v>7.5</v>
      </c>
      <c r="G65" s="243"/>
      <c r="H65" s="241"/>
      <c r="I65" s="14"/>
    </row>
    <row r="66" spans="2:9" ht="15" customHeight="1">
      <c r="B66" s="131" t="s">
        <v>496</v>
      </c>
      <c r="C66" s="49">
        <v>331</v>
      </c>
      <c r="D66" s="49">
        <v>384</v>
      </c>
      <c r="E66" s="89" t="s">
        <v>284</v>
      </c>
      <c r="F66" s="89" t="s">
        <v>284</v>
      </c>
      <c r="G66" s="243"/>
      <c r="H66" s="240"/>
      <c r="I66" s="14"/>
    </row>
    <row r="67" spans="2:9" ht="15" customHeight="1">
      <c r="B67" s="131" t="s">
        <v>497</v>
      </c>
      <c r="C67" s="49">
        <v>1427</v>
      </c>
      <c r="D67" s="49">
        <v>1235</v>
      </c>
      <c r="E67" s="49">
        <v>9</v>
      </c>
      <c r="F67" s="102">
        <v>6.3</v>
      </c>
      <c r="G67" s="243"/>
      <c r="H67" s="241"/>
      <c r="I67" s="14"/>
    </row>
    <row r="68" spans="2:9" ht="15" customHeight="1">
      <c r="B68" s="131" t="s">
        <v>498</v>
      </c>
      <c r="C68" s="49">
        <v>858</v>
      </c>
      <c r="D68" s="49">
        <v>654</v>
      </c>
      <c r="E68" s="49">
        <v>4</v>
      </c>
      <c r="F68" s="246" t="s">
        <v>292</v>
      </c>
      <c r="G68" s="243"/>
      <c r="H68" s="240"/>
      <c r="I68" s="14"/>
    </row>
    <row r="69" spans="2:9" ht="15" customHeight="1">
      <c r="B69" s="131" t="s">
        <v>499</v>
      </c>
      <c r="C69" s="49">
        <v>788</v>
      </c>
      <c r="D69" s="49">
        <v>507</v>
      </c>
      <c r="E69" s="49">
        <v>4</v>
      </c>
      <c r="F69" s="246" t="s">
        <v>292</v>
      </c>
      <c r="G69" s="243"/>
      <c r="H69" s="241"/>
      <c r="I69" s="14"/>
    </row>
    <row r="70" spans="2:9" ht="15" customHeight="1">
      <c r="B70" s="131" t="s">
        <v>500</v>
      </c>
      <c r="C70" s="49">
        <v>1650</v>
      </c>
      <c r="D70" s="49">
        <v>1615</v>
      </c>
      <c r="E70" s="49">
        <v>13</v>
      </c>
      <c r="F70" s="102">
        <v>7.9</v>
      </c>
      <c r="G70" s="243"/>
      <c r="H70" s="241"/>
      <c r="I70" s="14"/>
    </row>
    <row r="71" spans="2:9" ht="15" customHeight="1">
      <c r="B71" s="131" t="s">
        <v>501</v>
      </c>
      <c r="C71" s="49">
        <v>787</v>
      </c>
      <c r="D71" s="49">
        <v>646</v>
      </c>
      <c r="E71" s="49">
        <v>4</v>
      </c>
      <c r="F71" s="246" t="s">
        <v>292</v>
      </c>
      <c r="G71" s="243"/>
      <c r="H71" s="240"/>
      <c r="I71" s="14"/>
    </row>
    <row r="72" spans="2:9" ht="15" customHeight="1">
      <c r="B72" s="131" t="s">
        <v>502</v>
      </c>
      <c r="C72" s="49">
        <v>580</v>
      </c>
      <c r="D72" s="49">
        <v>568</v>
      </c>
      <c r="E72" s="89">
        <v>5</v>
      </c>
      <c r="F72" s="246" t="s">
        <v>292</v>
      </c>
      <c r="G72" s="243"/>
      <c r="H72" s="240"/>
      <c r="I72" s="14"/>
    </row>
    <row r="73" spans="2:9" ht="15" customHeight="1">
      <c r="B73" s="131" t="s">
        <v>503</v>
      </c>
      <c r="C73" s="49">
        <v>1072</v>
      </c>
      <c r="D73" s="49">
        <v>974</v>
      </c>
      <c r="E73" s="49">
        <v>7</v>
      </c>
      <c r="F73" s="102">
        <v>6.5</v>
      </c>
      <c r="G73" s="243"/>
      <c r="H73" s="240"/>
      <c r="I73" s="14"/>
    </row>
    <row r="74" spans="2:9" ht="15" customHeight="1">
      <c r="B74" s="133" t="s">
        <v>504</v>
      </c>
      <c r="C74" s="49">
        <v>281</v>
      </c>
      <c r="D74" s="49">
        <v>255</v>
      </c>
      <c r="E74" s="90">
        <v>2</v>
      </c>
      <c r="F74" s="246" t="s">
        <v>292</v>
      </c>
      <c r="G74" s="243"/>
      <c r="H74" s="240"/>
      <c r="I74" s="14"/>
    </row>
    <row r="75" spans="2:9" ht="15" customHeight="1">
      <c r="B75" s="131" t="s">
        <v>505</v>
      </c>
      <c r="C75" s="49">
        <v>278</v>
      </c>
      <c r="D75" s="49">
        <v>249</v>
      </c>
      <c r="E75" s="49">
        <v>1</v>
      </c>
      <c r="F75" s="246" t="s">
        <v>292</v>
      </c>
      <c r="G75" s="243"/>
      <c r="H75" s="240"/>
      <c r="I75" s="14"/>
    </row>
    <row r="76" spans="2:9" ht="15" customHeight="1">
      <c r="B76" s="131" t="s">
        <v>506</v>
      </c>
      <c r="C76" s="49">
        <v>1225</v>
      </c>
      <c r="D76" s="49">
        <v>506</v>
      </c>
      <c r="E76" s="49">
        <v>6</v>
      </c>
      <c r="F76" s="246">
        <v>4.9000000000000004</v>
      </c>
      <c r="G76" s="243"/>
      <c r="H76" s="241"/>
      <c r="I76" s="14"/>
    </row>
    <row r="77" spans="2:9" ht="15" customHeight="1">
      <c r="B77" s="134" t="s">
        <v>507</v>
      </c>
      <c r="C77" s="68">
        <v>695</v>
      </c>
      <c r="D77" s="68">
        <v>364</v>
      </c>
      <c r="E77" s="68">
        <v>4</v>
      </c>
      <c r="F77" s="247" t="s">
        <v>292</v>
      </c>
      <c r="G77" s="243"/>
      <c r="H77" s="241"/>
      <c r="I77" s="14"/>
    </row>
    <row r="78" spans="2:9" ht="30" customHeight="1">
      <c r="B78" s="325" t="s">
        <v>508</v>
      </c>
      <c r="C78" s="326"/>
      <c r="D78" s="326"/>
      <c r="E78" s="326"/>
      <c r="F78" s="326"/>
      <c r="G78" s="327"/>
      <c r="H78" s="327"/>
    </row>
    <row r="79" spans="2:9" ht="31.5" customHeight="1">
      <c r="B79" s="281" t="s">
        <v>611</v>
      </c>
      <c r="C79" s="280"/>
      <c r="D79" s="280"/>
      <c r="E79" s="280"/>
      <c r="F79" s="280"/>
      <c r="G79" s="280"/>
      <c r="H79" s="280"/>
    </row>
  </sheetData>
  <mergeCells count="9">
    <mergeCell ref="B3:F3"/>
    <mergeCell ref="B2:F2"/>
    <mergeCell ref="B4:F4"/>
    <mergeCell ref="B79:H79"/>
    <mergeCell ref="B5:B6"/>
    <mergeCell ref="C5:C6"/>
    <mergeCell ref="D5:D6"/>
    <mergeCell ref="B78:H78"/>
    <mergeCell ref="E5:F5"/>
  </mergeCells>
  <phoneticPr fontId="1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workbookViewId="0"/>
  </sheetViews>
  <sheetFormatPr defaultRowHeight="12" customHeight="1"/>
  <cols>
    <col min="1" max="1" width="5.5" style="2" customWidth="1"/>
    <col min="2" max="2" width="20.33203125" style="2" customWidth="1"/>
    <col min="3" max="3" width="14.1640625" style="2" customWidth="1"/>
    <col min="4" max="4" width="9.6640625" style="216" customWidth="1"/>
    <col min="5" max="5" width="15" style="216" bestFit="1" customWidth="1"/>
    <col min="6" max="6" width="12.33203125" style="2" customWidth="1"/>
    <col min="7" max="7" width="10.5" style="216" bestFit="1" customWidth="1"/>
    <col min="8" max="8" width="20.33203125" style="2" customWidth="1"/>
    <col min="9" max="9" width="16" style="2" customWidth="1"/>
    <col min="10" max="10" width="9.33203125" style="216"/>
    <col min="11" max="11" width="10.83203125" style="2" customWidth="1"/>
    <col min="12" max="12" width="10.5" style="2" customWidth="1"/>
    <col min="13" max="13" width="12.83203125" style="2" customWidth="1"/>
    <col min="14" max="14" width="9" style="2" bestFit="1" customWidth="1"/>
    <col min="15" max="15" width="12.6640625" style="216" bestFit="1" customWidth="1"/>
    <col min="16" max="16" width="17" style="2" customWidth="1"/>
    <col min="17" max="17" width="10.5" style="2" bestFit="1" customWidth="1"/>
    <col min="18" max="18" width="13" style="216" customWidth="1"/>
    <col min="19" max="19" width="17.33203125" style="216" customWidth="1"/>
    <col min="20" max="20" width="12.1640625" style="216" bestFit="1" customWidth="1"/>
    <col min="21" max="21" width="11.83203125" style="216" customWidth="1"/>
    <col min="22" max="22" width="14.33203125" style="2" customWidth="1"/>
    <col min="23" max="23" width="14.33203125" style="216" customWidth="1"/>
    <col min="24" max="24" width="12.6640625" style="216" customWidth="1"/>
    <col min="25" max="25" width="14.1640625" style="216" customWidth="1"/>
    <col min="26" max="26" width="11.83203125" style="216" customWidth="1"/>
    <col min="27" max="27" width="13.6640625" style="2" customWidth="1"/>
    <col min="28" max="28" width="19" style="216" customWidth="1"/>
    <col min="29" max="29" width="14.6640625" style="216" customWidth="1"/>
    <col min="30" max="30" width="15.5" style="216" customWidth="1"/>
    <col min="31" max="31" width="14.6640625" style="216" customWidth="1"/>
    <col min="32" max="32" width="12.5" style="2" customWidth="1"/>
    <col min="33" max="33" width="12" style="2" bestFit="1" customWidth="1"/>
    <col min="34" max="34" width="10.83203125" style="2" customWidth="1"/>
    <col min="35" max="36" width="9.33203125" style="2"/>
    <col min="37" max="37" width="14.33203125" style="2" customWidth="1"/>
    <col min="38" max="38" width="11.5" style="2" customWidth="1"/>
    <col min="39" max="16384" width="9.33203125" style="2"/>
  </cols>
  <sheetData>
    <row r="1" spans="1:38" ht="15.75">
      <c r="A1" s="1"/>
      <c r="B1" s="239"/>
    </row>
    <row r="2" spans="1:38" ht="17.25" customHeight="1">
      <c r="B2" s="4" t="s">
        <v>509</v>
      </c>
      <c r="C2" s="4"/>
      <c r="D2" s="217"/>
      <c r="E2" s="217"/>
      <c r="F2" s="4"/>
      <c r="G2" s="217"/>
      <c r="H2" s="4"/>
      <c r="I2" s="4"/>
      <c r="J2" s="217"/>
      <c r="K2" s="4"/>
      <c r="L2" s="4"/>
      <c r="M2" s="4"/>
      <c r="N2" s="4"/>
      <c r="O2" s="217"/>
      <c r="P2" s="4"/>
      <c r="Q2" s="4"/>
      <c r="R2" s="217"/>
      <c r="S2" s="217"/>
      <c r="T2" s="217"/>
      <c r="U2" s="217"/>
      <c r="V2" s="4"/>
      <c r="W2" s="217"/>
      <c r="X2" s="217"/>
      <c r="Y2" s="217"/>
      <c r="Z2" s="217"/>
      <c r="AA2" s="4"/>
      <c r="AB2" s="217"/>
      <c r="AC2" s="217"/>
      <c r="AD2" s="217"/>
      <c r="AE2" s="217"/>
      <c r="AF2" s="4"/>
      <c r="AG2" s="4"/>
      <c r="AH2" s="4"/>
      <c r="AI2" s="4"/>
      <c r="AJ2" s="4"/>
      <c r="AK2" s="4"/>
      <c r="AL2" s="4"/>
    </row>
    <row r="3" spans="1:38" ht="17.25" customHeight="1">
      <c r="B3" s="62" t="s">
        <v>510</v>
      </c>
      <c r="C3" s="4"/>
      <c r="D3" s="217"/>
      <c r="E3" s="217"/>
      <c r="F3" s="4"/>
      <c r="G3" s="217"/>
      <c r="H3" s="4"/>
      <c r="I3" s="4"/>
      <c r="J3" s="217"/>
      <c r="K3" s="4"/>
      <c r="L3" s="4"/>
      <c r="M3" s="4"/>
      <c r="N3" s="4"/>
      <c r="O3" s="217"/>
      <c r="P3" s="4"/>
      <c r="Q3" s="4"/>
      <c r="R3" s="217"/>
      <c r="S3" s="217"/>
      <c r="T3" s="217"/>
      <c r="U3" s="217"/>
      <c r="V3" s="4"/>
      <c r="W3" s="217"/>
      <c r="X3" s="217"/>
      <c r="Y3" s="217"/>
      <c r="Z3" s="217"/>
      <c r="AA3" s="4"/>
      <c r="AB3" s="217"/>
      <c r="AC3" s="217"/>
      <c r="AD3" s="217"/>
      <c r="AE3" s="217"/>
      <c r="AF3" s="4"/>
      <c r="AG3" s="4"/>
      <c r="AH3" s="4"/>
      <c r="AI3" s="4"/>
      <c r="AJ3" s="4"/>
      <c r="AK3" s="4"/>
      <c r="AL3" s="4"/>
    </row>
    <row r="4" spans="1:38" ht="17.25" customHeight="1">
      <c r="B4" s="4" t="s">
        <v>567</v>
      </c>
      <c r="C4" s="4"/>
      <c r="D4" s="217"/>
      <c r="E4" s="217"/>
      <c r="F4" s="4"/>
      <c r="G4" s="217"/>
      <c r="H4" s="4"/>
      <c r="I4" s="4"/>
      <c r="J4" s="217"/>
      <c r="K4" s="4"/>
      <c r="L4" s="4"/>
      <c r="M4" s="4"/>
      <c r="N4" s="4"/>
      <c r="O4" s="217"/>
      <c r="P4" s="4"/>
      <c r="Q4" s="4"/>
      <c r="R4" s="217"/>
      <c r="S4" s="217"/>
      <c r="T4" s="217"/>
      <c r="U4" s="217"/>
      <c r="V4" s="4"/>
      <c r="W4" s="217"/>
      <c r="X4" s="217"/>
      <c r="Y4" s="217"/>
      <c r="Z4" s="217"/>
      <c r="AA4" s="217"/>
      <c r="AB4" s="217"/>
      <c r="AC4" s="217"/>
      <c r="AD4" s="217"/>
      <c r="AE4" s="217"/>
      <c r="AF4" s="4"/>
      <c r="AG4" s="4"/>
      <c r="AH4" s="4"/>
      <c r="AI4" s="4"/>
      <c r="AJ4" s="4"/>
      <c r="AK4" s="4"/>
      <c r="AL4" s="4"/>
    </row>
    <row r="5" spans="1:38" ht="12" customHeight="1">
      <c r="B5" s="302" t="s">
        <v>324</v>
      </c>
      <c r="C5" s="330" t="s">
        <v>511</v>
      </c>
      <c r="D5" s="332" t="s">
        <v>512</v>
      </c>
      <c r="E5" s="330" t="s">
        <v>616</v>
      </c>
      <c r="F5" s="332" t="s">
        <v>513</v>
      </c>
      <c r="G5" s="254" t="s">
        <v>514</v>
      </c>
      <c r="H5" s="58"/>
      <c r="I5" s="58"/>
      <c r="J5" s="254"/>
      <c r="K5" s="58"/>
      <c r="L5" s="58"/>
      <c r="M5" s="58"/>
      <c r="N5" s="135"/>
      <c r="O5" s="332" t="s">
        <v>321</v>
      </c>
      <c r="P5" s="332" t="s">
        <v>522</v>
      </c>
      <c r="Q5" s="58" t="s">
        <v>523</v>
      </c>
      <c r="R5" s="254"/>
      <c r="S5" s="254"/>
      <c r="T5" s="254"/>
      <c r="U5" s="254"/>
      <c r="V5" s="135"/>
      <c r="W5" s="332" t="s">
        <v>524</v>
      </c>
      <c r="X5" s="332" t="s">
        <v>525</v>
      </c>
      <c r="Y5" s="332" t="s">
        <v>526</v>
      </c>
      <c r="Z5" s="332" t="s">
        <v>307</v>
      </c>
      <c r="AA5" s="332" t="s">
        <v>530</v>
      </c>
      <c r="AB5" s="332" t="s">
        <v>531</v>
      </c>
      <c r="AC5" s="332" t="s">
        <v>532</v>
      </c>
      <c r="AD5" s="332" t="s">
        <v>533</v>
      </c>
      <c r="AE5" s="332" t="s">
        <v>628</v>
      </c>
      <c r="AF5" s="332" t="s">
        <v>534</v>
      </c>
      <c r="AG5" s="58" t="s">
        <v>535</v>
      </c>
      <c r="AH5" s="58"/>
      <c r="AI5" s="135"/>
      <c r="AJ5" s="330" t="s">
        <v>536</v>
      </c>
      <c r="AK5" s="332" t="s">
        <v>537</v>
      </c>
      <c r="AL5" s="332" t="s">
        <v>538</v>
      </c>
    </row>
    <row r="6" spans="1:38" ht="93" customHeight="1">
      <c r="B6" s="316"/>
      <c r="C6" s="331"/>
      <c r="D6" s="331"/>
      <c r="E6" s="336"/>
      <c r="F6" s="333"/>
      <c r="G6" s="266" t="s">
        <v>435</v>
      </c>
      <c r="H6" s="265" t="s">
        <v>617</v>
      </c>
      <c r="I6" s="267" t="s">
        <v>618</v>
      </c>
      <c r="J6" s="266" t="s">
        <v>515</v>
      </c>
      <c r="K6" s="265" t="s">
        <v>516</v>
      </c>
      <c r="L6" s="265" t="s">
        <v>517</v>
      </c>
      <c r="M6" s="266" t="s">
        <v>518</v>
      </c>
      <c r="N6" s="266" t="s">
        <v>519</v>
      </c>
      <c r="O6" s="331"/>
      <c r="P6" s="331"/>
      <c r="Q6" s="266" t="s">
        <v>435</v>
      </c>
      <c r="R6" s="265" t="s">
        <v>527</v>
      </c>
      <c r="S6" s="265" t="s">
        <v>629</v>
      </c>
      <c r="T6" s="266" t="s">
        <v>293</v>
      </c>
      <c r="U6" s="265" t="s">
        <v>528</v>
      </c>
      <c r="V6" s="265" t="s">
        <v>529</v>
      </c>
      <c r="W6" s="331"/>
      <c r="X6" s="331"/>
      <c r="Y6" s="331"/>
      <c r="Z6" s="331"/>
      <c r="AA6" s="333"/>
      <c r="AB6" s="333"/>
      <c r="AC6" s="331"/>
      <c r="AD6" s="333"/>
      <c r="AE6" s="333"/>
      <c r="AF6" s="333"/>
      <c r="AG6" s="266" t="s">
        <v>435</v>
      </c>
      <c r="AH6" s="265" t="s">
        <v>539</v>
      </c>
      <c r="AI6" s="265" t="s">
        <v>540</v>
      </c>
      <c r="AJ6" s="331"/>
      <c r="AK6" s="333"/>
      <c r="AL6" s="333"/>
    </row>
    <row r="7" spans="1:38" ht="19.5" customHeight="1">
      <c r="B7" s="136" t="s">
        <v>156</v>
      </c>
      <c r="C7" s="78">
        <v>92463</v>
      </c>
      <c r="D7" s="253">
        <f>SUM(D8:D109)</f>
        <v>10</v>
      </c>
      <c r="E7" s="253">
        <f>SUM(E8:E109)</f>
        <v>1209</v>
      </c>
      <c r="F7" s="253">
        <f>SUM(F8:F109)</f>
        <v>901</v>
      </c>
      <c r="G7" s="253">
        <f>SUM(G9:G108)</f>
        <v>20395</v>
      </c>
      <c r="H7" s="253">
        <f t="shared" ref="H7:I7" si="0">SUM(H9:H108)</f>
        <v>5399</v>
      </c>
      <c r="I7" s="253">
        <f t="shared" si="0"/>
        <v>5950</v>
      </c>
      <c r="J7" s="253">
        <f>SUM(J9:J108)</f>
        <v>1395</v>
      </c>
      <c r="K7" s="253">
        <f t="shared" ref="K7:N7" si="1">SUM(K9:K108)</f>
        <v>1998</v>
      </c>
      <c r="L7" s="253">
        <f t="shared" si="1"/>
        <v>1136</v>
      </c>
      <c r="M7" s="253">
        <f t="shared" si="1"/>
        <v>796</v>
      </c>
      <c r="N7" s="253">
        <f t="shared" si="1"/>
        <v>3260</v>
      </c>
      <c r="O7" s="255">
        <f>SUM(O9:O108)</f>
        <v>2821</v>
      </c>
      <c r="P7" s="255">
        <f>SUM(P9:P108)</f>
        <v>131</v>
      </c>
      <c r="Q7" s="125">
        <f>SUM(R7:V7)</f>
        <v>30608</v>
      </c>
      <c r="R7" s="255">
        <f>SUM(R9:R108)</f>
        <v>24143</v>
      </c>
      <c r="S7" s="255">
        <f>SUM(S9:S108)</f>
        <v>1036</v>
      </c>
      <c r="T7" s="255">
        <f>SUM(T9:T108)</f>
        <v>4365</v>
      </c>
      <c r="U7" s="255">
        <f>SUM(U9:U108)</f>
        <v>345</v>
      </c>
      <c r="V7" s="255">
        <f>SUM(V9:V108)</f>
        <v>719</v>
      </c>
      <c r="W7" s="255">
        <f t="shared" ref="W7:AF7" si="2">SUM(W9:W108)</f>
        <v>1892</v>
      </c>
      <c r="X7" s="255">
        <f t="shared" si="2"/>
        <v>5547</v>
      </c>
      <c r="Y7" s="255">
        <f t="shared" si="2"/>
        <v>115</v>
      </c>
      <c r="Z7" s="255">
        <f t="shared" si="2"/>
        <v>1174</v>
      </c>
      <c r="AA7" s="125">
        <f t="shared" si="2"/>
        <v>1665</v>
      </c>
      <c r="AB7" s="255">
        <f t="shared" si="2"/>
        <v>35</v>
      </c>
      <c r="AC7" s="255">
        <f t="shared" si="2"/>
        <v>354</v>
      </c>
      <c r="AD7" s="255">
        <f t="shared" si="2"/>
        <v>419</v>
      </c>
      <c r="AE7" s="255">
        <f t="shared" si="2"/>
        <v>870</v>
      </c>
      <c r="AF7" s="255">
        <f t="shared" si="2"/>
        <v>17832</v>
      </c>
      <c r="AG7" s="125">
        <f t="shared" ref="AG7:AL7" si="3">SUM(AG9:AG108)</f>
        <v>4194</v>
      </c>
      <c r="AH7" s="125">
        <f t="shared" si="3"/>
        <v>1047</v>
      </c>
      <c r="AI7" s="125">
        <f>AG7-AH7</f>
        <v>3147</v>
      </c>
      <c r="AJ7" s="125">
        <f t="shared" si="3"/>
        <v>1296</v>
      </c>
      <c r="AK7" s="125">
        <f t="shared" si="3"/>
        <v>634</v>
      </c>
      <c r="AL7" s="125">
        <f t="shared" si="3"/>
        <v>361</v>
      </c>
    </row>
    <row r="8" spans="1:38" ht="12" customHeight="1">
      <c r="B8" s="83"/>
      <c r="C8" s="38"/>
      <c r="D8" s="223"/>
      <c r="E8" s="223"/>
      <c r="F8" s="49"/>
      <c r="G8" s="223"/>
      <c r="H8" s="49"/>
      <c r="I8" s="49"/>
      <c r="J8" s="223"/>
      <c r="K8" s="49"/>
      <c r="L8" s="49"/>
      <c r="M8" s="49"/>
      <c r="N8" s="49"/>
      <c r="O8" s="225"/>
      <c r="P8" s="89"/>
      <c r="Q8" s="89"/>
      <c r="R8" s="225"/>
      <c r="S8" s="225"/>
      <c r="T8" s="225"/>
      <c r="U8" s="225"/>
      <c r="V8" s="89"/>
      <c r="W8" s="225"/>
      <c r="X8" s="225"/>
      <c r="Y8" s="225"/>
      <c r="Z8" s="225"/>
      <c r="AA8" s="89"/>
      <c r="AB8" s="225"/>
      <c r="AC8" s="225"/>
      <c r="AD8" s="225"/>
      <c r="AE8" s="225"/>
      <c r="AF8" s="89"/>
      <c r="AG8" s="89"/>
      <c r="AH8" s="89"/>
      <c r="AI8" s="89"/>
      <c r="AJ8" s="89"/>
      <c r="AK8" s="89"/>
      <c r="AL8" s="89"/>
    </row>
    <row r="9" spans="1:38" ht="15" customHeight="1">
      <c r="B9" s="137" t="s">
        <v>332</v>
      </c>
      <c r="C9" s="89">
        <v>185</v>
      </c>
      <c r="D9" s="225" t="s">
        <v>284</v>
      </c>
      <c r="E9" s="225">
        <v>2</v>
      </c>
      <c r="F9" s="89">
        <v>1</v>
      </c>
      <c r="G9" s="225">
        <v>36</v>
      </c>
      <c r="H9" s="89">
        <v>10</v>
      </c>
      <c r="I9" s="89">
        <v>13</v>
      </c>
      <c r="J9" s="225">
        <v>1</v>
      </c>
      <c r="K9" s="89">
        <v>2</v>
      </c>
      <c r="L9" s="89">
        <v>1</v>
      </c>
      <c r="M9" s="89">
        <v>1</v>
      </c>
      <c r="N9" s="89">
        <v>7</v>
      </c>
      <c r="O9" s="223">
        <v>1</v>
      </c>
      <c r="P9" s="90">
        <v>1</v>
      </c>
      <c r="Q9" s="49">
        <f>SUM(R9:V9)</f>
        <v>68</v>
      </c>
      <c r="R9" s="223">
        <v>52</v>
      </c>
      <c r="S9" s="256">
        <v>2</v>
      </c>
      <c r="T9" s="223">
        <v>12</v>
      </c>
      <c r="U9" s="256" t="s">
        <v>284</v>
      </c>
      <c r="V9" s="49">
        <v>2</v>
      </c>
      <c r="W9" s="223">
        <v>3</v>
      </c>
      <c r="X9" s="223">
        <v>15</v>
      </c>
      <c r="Y9" s="256" t="s">
        <v>284</v>
      </c>
      <c r="Z9" s="223">
        <v>1</v>
      </c>
      <c r="AA9" s="89">
        <v>3</v>
      </c>
      <c r="AB9" s="256" t="s">
        <v>284</v>
      </c>
      <c r="AC9" s="256" t="s">
        <v>284</v>
      </c>
      <c r="AD9" s="256" t="s">
        <v>284</v>
      </c>
      <c r="AE9" s="256">
        <v>1</v>
      </c>
      <c r="AF9" s="89">
        <v>38</v>
      </c>
      <c r="AG9" s="89">
        <v>5</v>
      </c>
      <c r="AH9" s="89">
        <v>2</v>
      </c>
      <c r="AI9" s="89">
        <f>AG9-AH9</f>
        <v>3</v>
      </c>
      <c r="AJ9" s="89">
        <v>7</v>
      </c>
      <c r="AK9" s="90" t="s">
        <v>284</v>
      </c>
      <c r="AL9" s="90">
        <v>3</v>
      </c>
    </row>
    <row r="10" spans="1:38" ht="15" customHeight="1">
      <c r="B10" s="137" t="s">
        <v>333</v>
      </c>
      <c r="C10" s="89">
        <v>102</v>
      </c>
      <c r="D10" s="225" t="s">
        <v>284</v>
      </c>
      <c r="E10" s="225">
        <v>2</v>
      </c>
      <c r="F10" s="89" t="s">
        <v>284</v>
      </c>
      <c r="G10" s="225">
        <v>20</v>
      </c>
      <c r="H10" s="89">
        <v>6</v>
      </c>
      <c r="I10" s="89">
        <v>5</v>
      </c>
      <c r="J10" s="225" t="s">
        <v>284</v>
      </c>
      <c r="K10" s="89">
        <v>3</v>
      </c>
      <c r="L10" s="89">
        <v>1</v>
      </c>
      <c r="M10" s="89" t="s">
        <v>284</v>
      </c>
      <c r="N10" s="89">
        <v>4</v>
      </c>
      <c r="O10" s="223">
        <v>2</v>
      </c>
      <c r="P10" s="90" t="s">
        <v>284</v>
      </c>
      <c r="Q10" s="49">
        <f t="shared" ref="Q10:Q73" si="4">SUM(R10:V10)</f>
        <v>31</v>
      </c>
      <c r="R10" s="223">
        <v>28</v>
      </c>
      <c r="S10" s="256">
        <v>1</v>
      </c>
      <c r="T10" s="223">
        <v>1</v>
      </c>
      <c r="U10" s="256" t="s">
        <v>284</v>
      </c>
      <c r="V10" s="49">
        <v>1</v>
      </c>
      <c r="W10" s="223">
        <v>3</v>
      </c>
      <c r="X10" s="223">
        <v>9</v>
      </c>
      <c r="Y10" s="256" t="s">
        <v>284</v>
      </c>
      <c r="Z10" s="256" t="s">
        <v>284</v>
      </c>
      <c r="AA10" s="89">
        <v>3</v>
      </c>
      <c r="AB10" s="256" t="s">
        <v>284</v>
      </c>
      <c r="AC10" s="256">
        <v>2</v>
      </c>
      <c r="AD10" s="256" t="s">
        <v>284</v>
      </c>
      <c r="AE10" s="256">
        <v>1</v>
      </c>
      <c r="AF10" s="89">
        <v>19</v>
      </c>
      <c r="AG10" s="89">
        <v>9</v>
      </c>
      <c r="AH10" s="89">
        <v>6</v>
      </c>
      <c r="AI10" s="89">
        <f t="shared" ref="AI10:AI73" si="5">AG10-AH10</f>
        <v>3</v>
      </c>
      <c r="AJ10" s="90" t="s">
        <v>284</v>
      </c>
      <c r="AK10" s="90" t="s">
        <v>284</v>
      </c>
      <c r="AL10" s="90">
        <v>1</v>
      </c>
    </row>
    <row r="11" spans="1:38" ht="15" customHeight="1">
      <c r="B11" s="137" t="s">
        <v>334</v>
      </c>
      <c r="C11" s="89">
        <v>949</v>
      </c>
      <c r="D11" s="225" t="s">
        <v>284</v>
      </c>
      <c r="E11" s="225">
        <v>6</v>
      </c>
      <c r="F11" s="89">
        <v>12</v>
      </c>
      <c r="G11" s="225">
        <v>217</v>
      </c>
      <c r="H11" s="89">
        <v>55</v>
      </c>
      <c r="I11" s="89">
        <v>65</v>
      </c>
      <c r="J11" s="225">
        <v>8</v>
      </c>
      <c r="K11" s="89">
        <v>24</v>
      </c>
      <c r="L11" s="89">
        <v>15</v>
      </c>
      <c r="M11" s="89">
        <v>9</v>
      </c>
      <c r="N11" s="89">
        <v>36</v>
      </c>
      <c r="O11" s="223">
        <v>28</v>
      </c>
      <c r="P11" s="90">
        <v>1</v>
      </c>
      <c r="Q11" s="49">
        <f t="shared" si="4"/>
        <v>295</v>
      </c>
      <c r="R11" s="223">
        <v>227</v>
      </c>
      <c r="S11" s="256">
        <v>12</v>
      </c>
      <c r="T11" s="223">
        <v>47</v>
      </c>
      <c r="U11" s="223">
        <v>3</v>
      </c>
      <c r="V11" s="49">
        <v>6</v>
      </c>
      <c r="W11" s="223">
        <v>28</v>
      </c>
      <c r="X11" s="223">
        <v>61</v>
      </c>
      <c r="Y11" s="223">
        <v>2</v>
      </c>
      <c r="Z11" s="223">
        <v>10</v>
      </c>
      <c r="AA11" s="89">
        <v>16</v>
      </c>
      <c r="AB11" s="256" t="s">
        <v>284</v>
      </c>
      <c r="AC11" s="256">
        <v>4</v>
      </c>
      <c r="AD11" s="256">
        <v>2</v>
      </c>
      <c r="AE11" s="225">
        <v>15</v>
      </c>
      <c r="AF11" s="89">
        <v>198</v>
      </c>
      <c r="AG11" s="89">
        <v>39</v>
      </c>
      <c r="AH11" s="89">
        <v>17</v>
      </c>
      <c r="AI11" s="89">
        <f t="shared" si="5"/>
        <v>22</v>
      </c>
      <c r="AJ11" s="89">
        <v>10</v>
      </c>
      <c r="AK11" s="89">
        <v>3</v>
      </c>
      <c r="AL11" s="90">
        <v>2</v>
      </c>
    </row>
    <row r="12" spans="1:38" ht="15" customHeight="1">
      <c r="B12" s="137" t="s">
        <v>335</v>
      </c>
      <c r="C12" s="89">
        <v>354</v>
      </c>
      <c r="D12" s="225" t="s">
        <v>284</v>
      </c>
      <c r="E12" s="225">
        <v>2</v>
      </c>
      <c r="F12" s="89">
        <v>5</v>
      </c>
      <c r="G12" s="225">
        <v>80</v>
      </c>
      <c r="H12" s="89">
        <v>25</v>
      </c>
      <c r="I12" s="89">
        <v>23</v>
      </c>
      <c r="J12" s="225">
        <v>4</v>
      </c>
      <c r="K12" s="89">
        <v>7</v>
      </c>
      <c r="L12" s="89">
        <v>3</v>
      </c>
      <c r="M12" s="89">
        <v>4</v>
      </c>
      <c r="N12" s="89">
        <v>13</v>
      </c>
      <c r="O12" s="223">
        <v>12</v>
      </c>
      <c r="P12" s="90">
        <v>1</v>
      </c>
      <c r="Q12" s="49">
        <f t="shared" si="4"/>
        <v>118</v>
      </c>
      <c r="R12" s="223">
        <v>96</v>
      </c>
      <c r="S12" s="256">
        <v>1</v>
      </c>
      <c r="T12" s="223">
        <v>16</v>
      </c>
      <c r="U12" s="256">
        <v>1</v>
      </c>
      <c r="V12" s="49">
        <v>4</v>
      </c>
      <c r="W12" s="223">
        <v>6</v>
      </c>
      <c r="X12" s="223">
        <v>22</v>
      </c>
      <c r="Y12" s="256" t="s">
        <v>284</v>
      </c>
      <c r="Z12" s="223">
        <v>4</v>
      </c>
      <c r="AA12" s="89">
        <v>6</v>
      </c>
      <c r="AB12" s="256" t="s">
        <v>284</v>
      </c>
      <c r="AC12" s="256" t="s">
        <v>284</v>
      </c>
      <c r="AD12" s="256" t="s">
        <v>284</v>
      </c>
      <c r="AE12" s="256" t="s">
        <v>284</v>
      </c>
      <c r="AF12" s="89">
        <v>79</v>
      </c>
      <c r="AG12" s="89">
        <v>13</v>
      </c>
      <c r="AH12" s="89">
        <v>3</v>
      </c>
      <c r="AI12" s="89">
        <f t="shared" si="5"/>
        <v>10</v>
      </c>
      <c r="AJ12" s="89">
        <v>5</v>
      </c>
      <c r="AK12" s="90" t="s">
        <v>284</v>
      </c>
      <c r="AL12" s="90" t="s">
        <v>284</v>
      </c>
    </row>
    <row r="13" spans="1:38" ht="15" customHeight="1">
      <c r="B13" s="137" t="s">
        <v>336</v>
      </c>
      <c r="C13" s="89">
        <v>272</v>
      </c>
      <c r="D13" s="225" t="s">
        <v>284</v>
      </c>
      <c r="E13" s="225">
        <v>2</v>
      </c>
      <c r="F13" s="89">
        <v>2</v>
      </c>
      <c r="G13" s="225">
        <v>59</v>
      </c>
      <c r="H13" s="89">
        <v>13</v>
      </c>
      <c r="I13" s="89">
        <v>19</v>
      </c>
      <c r="J13" s="225">
        <v>1</v>
      </c>
      <c r="K13" s="89">
        <v>5</v>
      </c>
      <c r="L13" s="89">
        <v>7</v>
      </c>
      <c r="M13" s="89">
        <v>5</v>
      </c>
      <c r="N13" s="89">
        <v>8</v>
      </c>
      <c r="O13" s="223">
        <v>11</v>
      </c>
      <c r="P13" s="90" t="s">
        <v>284</v>
      </c>
      <c r="Q13" s="49">
        <f t="shared" si="4"/>
        <v>81</v>
      </c>
      <c r="R13" s="223">
        <v>65</v>
      </c>
      <c r="S13" s="256">
        <v>1</v>
      </c>
      <c r="T13" s="223">
        <v>14</v>
      </c>
      <c r="U13" s="256" t="s">
        <v>284</v>
      </c>
      <c r="V13" s="49">
        <v>1</v>
      </c>
      <c r="W13" s="223">
        <v>9</v>
      </c>
      <c r="X13" s="223">
        <v>19</v>
      </c>
      <c r="Y13" s="256">
        <v>1</v>
      </c>
      <c r="Z13" s="256">
        <v>2</v>
      </c>
      <c r="AA13" s="89">
        <v>1</v>
      </c>
      <c r="AB13" s="256" t="s">
        <v>284</v>
      </c>
      <c r="AC13" s="256">
        <v>3</v>
      </c>
      <c r="AD13" s="256">
        <v>1</v>
      </c>
      <c r="AE13" s="225">
        <v>2</v>
      </c>
      <c r="AF13" s="89">
        <v>67</v>
      </c>
      <c r="AG13" s="89">
        <v>8</v>
      </c>
      <c r="AH13" s="89">
        <v>5</v>
      </c>
      <c r="AI13" s="89">
        <f t="shared" si="5"/>
        <v>3</v>
      </c>
      <c r="AJ13" s="89">
        <v>4</v>
      </c>
      <c r="AK13" s="90" t="s">
        <v>284</v>
      </c>
      <c r="AL13" s="90" t="s">
        <v>284</v>
      </c>
    </row>
    <row r="14" spans="1:38" ht="12.75" customHeight="1">
      <c r="B14" s="137"/>
      <c r="C14" s="38"/>
      <c r="D14" s="223"/>
      <c r="E14" s="223"/>
      <c r="F14" s="49"/>
      <c r="G14" s="223"/>
      <c r="H14" s="49"/>
      <c r="I14" s="49"/>
      <c r="J14" s="223"/>
      <c r="K14" s="49"/>
      <c r="L14" s="49"/>
      <c r="M14" s="49"/>
      <c r="N14" s="49"/>
      <c r="O14" s="223"/>
      <c r="P14" s="90"/>
      <c r="Q14" s="49"/>
      <c r="R14" s="223"/>
      <c r="S14" s="256"/>
      <c r="T14" s="223"/>
      <c r="U14" s="223"/>
      <c r="V14" s="49"/>
      <c r="W14" s="223"/>
      <c r="X14" s="223"/>
      <c r="Y14" s="223"/>
      <c r="Z14" s="223"/>
      <c r="AA14" s="89"/>
      <c r="AB14" s="225"/>
      <c r="AC14" s="225"/>
      <c r="AD14" s="256"/>
      <c r="AE14" s="225"/>
      <c r="AF14" s="89"/>
      <c r="AG14" s="89"/>
      <c r="AH14" s="89"/>
      <c r="AI14" s="89"/>
      <c r="AJ14" s="89"/>
      <c r="AK14" s="89"/>
      <c r="AL14" s="89"/>
    </row>
    <row r="15" spans="1:38" ht="15" customHeight="1">
      <c r="B15" s="137" t="s">
        <v>337</v>
      </c>
      <c r="C15" s="89">
        <v>221</v>
      </c>
      <c r="D15" s="225" t="s">
        <v>284</v>
      </c>
      <c r="E15" s="225">
        <v>4</v>
      </c>
      <c r="F15" s="89">
        <v>1</v>
      </c>
      <c r="G15" s="225">
        <v>39</v>
      </c>
      <c r="H15" s="89">
        <v>6</v>
      </c>
      <c r="I15" s="89">
        <v>19</v>
      </c>
      <c r="J15" s="225">
        <v>1</v>
      </c>
      <c r="K15" s="89">
        <v>4</v>
      </c>
      <c r="L15" s="89">
        <v>1</v>
      </c>
      <c r="M15" s="89">
        <v>2</v>
      </c>
      <c r="N15" s="89">
        <v>6</v>
      </c>
      <c r="O15" s="256">
        <v>4</v>
      </c>
      <c r="P15" s="90" t="s">
        <v>284</v>
      </c>
      <c r="Q15" s="49">
        <f t="shared" si="4"/>
        <v>70</v>
      </c>
      <c r="R15" s="223">
        <v>61</v>
      </c>
      <c r="S15" s="256">
        <v>1</v>
      </c>
      <c r="T15" s="223">
        <v>7</v>
      </c>
      <c r="U15" s="256" t="s">
        <v>284</v>
      </c>
      <c r="V15" s="49">
        <v>1</v>
      </c>
      <c r="W15" s="223">
        <v>3</v>
      </c>
      <c r="X15" s="223">
        <v>22</v>
      </c>
      <c r="Y15" s="256">
        <v>2</v>
      </c>
      <c r="Z15" s="223">
        <v>6</v>
      </c>
      <c r="AA15" s="89">
        <v>2</v>
      </c>
      <c r="AB15" s="256" t="s">
        <v>284</v>
      </c>
      <c r="AC15" s="256">
        <v>1</v>
      </c>
      <c r="AD15" s="256">
        <v>3</v>
      </c>
      <c r="AE15" s="256" t="s">
        <v>284</v>
      </c>
      <c r="AF15" s="89">
        <v>50</v>
      </c>
      <c r="AG15" s="89">
        <v>12</v>
      </c>
      <c r="AH15" s="89">
        <v>6</v>
      </c>
      <c r="AI15" s="89">
        <f t="shared" si="5"/>
        <v>6</v>
      </c>
      <c r="AJ15" s="90">
        <v>2</v>
      </c>
      <c r="AK15" s="90" t="s">
        <v>284</v>
      </c>
      <c r="AL15" s="90" t="s">
        <v>284</v>
      </c>
    </row>
    <row r="16" spans="1:38" ht="15" customHeight="1">
      <c r="B16" s="137" t="s">
        <v>338</v>
      </c>
      <c r="C16" s="89">
        <v>102</v>
      </c>
      <c r="D16" s="225" t="s">
        <v>284</v>
      </c>
      <c r="E16" s="225" t="s">
        <v>284</v>
      </c>
      <c r="F16" s="89">
        <v>3</v>
      </c>
      <c r="G16" s="225">
        <v>19</v>
      </c>
      <c r="H16" s="89">
        <v>6</v>
      </c>
      <c r="I16" s="89">
        <v>7</v>
      </c>
      <c r="J16" s="225" t="s">
        <v>284</v>
      </c>
      <c r="K16" s="89">
        <v>1</v>
      </c>
      <c r="L16" s="89">
        <v>1</v>
      </c>
      <c r="M16" s="89">
        <v>1</v>
      </c>
      <c r="N16" s="89">
        <v>3</v>
      </c>
      <c r="O16" s="223">
        <v>6</v>
      </c>
      <c r="P16" s="90" t="s">
        <v>284</v>
      </c>
      <c r="Q16" s="49">
        <f t="shared" si="4"/>
        <v>40</v>
      </c>
      <c r="R16" s="223">
        <v>28</v>
      </c>
      <c r="S16" s="256">
        <v>2</v>
      </c>
      <c r="T16" s="223">
        <v>8</v>
      </c>
      <c r="U16" s="256">
        <v>1</v>
      </c>
      <c r="V16" s="49">
        <v>1</v>
      </c>
      <c r="W16" s="223">
        <v>2</v>
      </c>
      <c r="X16" s="223">
        <v>3</v>
      </c>
      <c r="Y16" s="256" t="s">
        <v>284</v>
      </c>
      <c r="Z16" s="256">
        <v>1</v>
      </c>
      <c r="AA16" s="90">
        <v>1</v>
      </c>
      <c r="AB16" s="256" t="s">
        <v>284</v>
      </c>
      <c r="AC16" s="256" t="s">
        <v>284</v>
      </c>
      <c r="AD16" s="256">
        <v>1</v>
      </c>
      <c r="AE16" s="256" t="s">
        <v>284</v>
      </c>
      <c r="AF16" s="89">
        <v>17</v>
      </c>
      <c r="AG16" s="89">
        <v>3</v>
      </c>
      <c r="AH16" s="90">
        <v>1</v>
      </c>
      <c r="AI16" s="89">
        <f t="shared" si="5"/>
        <v>2</v>
      </c>
      <c r="AJ16" s="90">
        <v>6</v>
      </c>
      <c r="AK16" s="90" t="s">
        <v>284</v>
      </c>
      <c r="AL16" s="90" t="s">
        <v>284</v>
      </c>
    </row>
    <row r="17" spans="2:38" ht="15" customHeight="1">
      <c r="B17" s="137" t="s">
        <v>339</v>
      </c>
      <c r="C17" s="89">
        <v>535</v>
      </c>
      <c r="D17" s="225" t="s">
        <v>284</v>
      </c>
      <c r="E17" s="225">
        <v>2</v>
      </c>
      <c r="F17" s="89">
        <v>4</v>
      </c>
      <c r="G17" s="225">
        <v>117</v>
      </c>
      <c r="H17" s="89">
        <v>26</v>
      </c>
      <c r="I17" s="89">
        <v>34</v>
      </c>
      <c r="J17" s="225">
        <v>6</v>
      </c>
      <c r="K17" s="89">
        <v>14</v>
      </c>
      <c r="L17" s="89">
        <v>10</v>
      </c>
      <c r="M17" s="89">
        <v>4</v>
      </c>
      <c r="N17" s="89">
        <v>20</v>
      </c>
      <c r="O17" s="223">
        <v>28</v>
      </c>
      <c r="P17" s="90">
        <v>3</v>
      </c>
      <c r="Q17" s="49">
        <f t="shared" si="4"/>
        <v>150</v>
      </c>
      <c r="R17" s="223">
        <v>99</v>
      </c>
      <c r="S17" s="256">
        <v>13</v>
      </c>
      <c r="T17" s="223">
        <v>33</v>
      </c>
      <c r="U17" s="256" t="s">
        <v>284</v>
      </c>
      <c r="V17" s="49">
        <v>5</v>
      </c>
      <c r="W17" s="223">
        <v>16</v>
      </c>
      <c r="X17" s="223">
        <v>32</v>
      </c>
      <c r="Y17" s="256" t="s">
        <v>284</v>
      </c>
      <c r="Z17" s="223">
        <v>7</v>
      </c>
      <c r="AA17" s="89">
        <v>9</v>
      </c>
      <c r="AB17" s="256" t="s">
        <v>284</v>
      </c>
      <c r="AC17" s="256">
        <v>3</v>
      </c>
      <c r="AD17" s="256">
        <v>1</v>
      </c>
      <c r="AE17" s="225">
        <v>2</v>
      </c>
      <c r="AF17" s="89">
        <v>109</v>
      </c>
      <c r="AG17" s="89">
        <v>38</v>
      </c>
      <c r="AH17" s="89">
        <v>12</v>
      </c>
      <c r="AI17" s="89">
        <f t="shared" si="5"/>
        <v>26</v>
      </c>
      <c r="AJ17" s="89">
        <v>11</v>
      </c>
      <c r="AK17" s="90">
        <v>1</v>
      </c>
      <c r="AL17" s="90">
        <v>2</v>
      </c>
    </row>
    <row r="18" spans="2:38" ht="15" customHeight="1">
      <c r="B18" s="137" t="s">
        <v>340</v>
      </c>
      <c r="C18" s="89">
        <v>1159</v>
      </c>
      <c r="D18" s="225">
        <v>1</v>
      </c>
      <c r="E18" s="225">
        <v>18</v>
      </c>
      <c r="F18" s="89">
        <v>3</v>
      </c>
      <c r="G18" s="225">
        <v>257</v>
      </c>
      <c r="H18" s="89">
        <v>69</v>
      </c>
      <c r="I18" s="89">
        <v>71</v>
      </c>
      <c r="J18" s="225">
        <v>15</v>
      </c>
      <c r="K18" s="89">
        <v>23</v>
      </c>
      <c r="L18" s="89">
        <v>13</v>
      </c>
      <c r="M18" s="89">
        <v>10</v>
      </c>
      <c r="N18" s="89">
        <v>49</v>
      </c>
      <c r="O18" s="223">
        <v>24</v>
      </c>
      <c r="P18" s="90">
        <v>2</v>
      </c>
      <c r="Q18" s="49">
        <f t="shared" si="4"/>
        <v>456</v>
      </c>
      <c r="R18" s="223">
        <v>384</v>
      </c>
      <c r="S18" s="256">
        <v>15</v>
      </c>
      <c r="T18" s="223">
        <v>47</v>
      </c>
      <c r="U18" s="256">
        <v>4</v>
      </c>
      <c r="V18" s="49">
        <v>6</v>
      </c>
      <c r="W18" s="223">
        <v>23</v>
      </c>
      <c r="X18" s="223">
        <v>81</v>
      </c>
      <c r="Y18" s="223">
        <v>1</v>
      </c>
      <c r="Z18" s="223">
        <v>28</v>
      </c>
      <c r="AA18" s="89">
        <v>21</v>
      </c>
      <c r="AB18" s="256" t="s">
        <v>284</v>
      </c>
      <c r="AC18" s="256">
        <v>1</v>
      </c>
      <c r="AD18" s="256" t="s">
        <v>284</v>
      </c>
      <c r="AE18" s="225">
        <v>5</v>
      </c>
      <c r="AF18" s="89">
        <v>170</v>
      </c>
      <c r="AG18" s="89">
        <v>31</v>
      </c>
      <c r="AH18" s="89">
        <v>11</v>
      </c>
      <c r="AI18" s="89">
        <f t="shared" si="5"/>
        <v>20</v>
      </c>
      <c r="AJ18" s="89">
        <v>16</v>
      </c>
      <c r="AK18" s="89">
        <v>2</v>
      </c>
      <c r="AL18" s="90">
        <v>19</v>
      </c>
    </row>
    <row r="19" spans="2:38" ht="15" customHeight="1">
      <c r="B19" s="137" t="s">
        <v>341</v>
      </c>
      <c r="C19" s="89">
        <v>217</v>
      </c>
      <c r="D19" s="225" t="s">
        <v>284</v>
      </c>
      <c r="E19" s="225" t="s">
        <v>284</v>
      </c>
      <c r="F19" s="89">
        <v>2</v>
      </c>
      <c r="G19" s="225">
        <v>60</v>
      </c>
      <c r="H19" s="89">
        <v>11</v>
      </c>
      <c r="I19" s="89">
        <v>23</v>
      </c>
      <c r="J19" s="225">
        <v>4</v>
      </c>
      <c r="K19" s="89">
        <v>5</v>
      </c>
      <c r="L19" s="89">
        <v>2</v>
      </c>
      <c r="M19" s="89">
        <v>6</v>
      </c>
      <c r="N19" s="89">
        <v>7</v>
      </c>
      <c r="O19" s="223">
        <v>7</v>
      </c>
      <c r="P19" s="90" t="s">
        <v>284</v>
      </c>
      <c r="Q19" s="49">
        <f t="shared" si="4"/>
        <v>50</v>
      </c>
      <c r="R19" s="223">
        <v>34</v>
      </c>
      <c r="S19" s="256">
        <v>3</v>
      </c>
      <c r="T19" s="223">
        <v>12</v>
      </c>
      <c r="U19" s="256" t="s">
        <v>284</v>
      </c>
      <c r="V19" s="49">
        <v>1</v>
      </c>
      <c r="W19" s="223">
        <v>4</v>
      </c>
      <c r="X19" s="223">
        <v>12</v>
      </c>
      <c r="Y19" s="256" t="s">
        <v>284</v>
      </c>
      <c r="Z19" s="256" t="s">
        <v>284</v>
      </c>
      <c r="AA19" s="89">
        <v>6</v>
      </c>
      <c r="AB19" s="256" t="s">
        <v>284</v>
      </c>
      <c r="AC19" s="256">
        <v>3</v>
      </c>
      <c r="AD19" s="256">
        <v>1</v>
      </c>
      <c r="AE19" s="225">
        <v>5</v>
      </c>
      <c r="AF19" s="89">
        <v>51</v>
      </c>
      <c r="AG19" s="89">
        <v>12</v>
      </c>
      <c r="AH19" s="89">
        <v>5</v>
      </c>
      <c r="AI19" s="89">
        <f t="shared" si="5"/>
        <v>7</v>
      </c>
      <c r="AJ19" s="89">
        <v>4</v>
      </c>
      <c r="AK19" s="90" t="s">
        <v>284</v>
      </c>
      <c r="AL19" s="90" t="s">
        <v>284</v>
      </c>
    </row>
    <row r="20" spans="2:38" ht="12.75" customHeight="1">
      <c r="B20" s="83"/>
      <c r="C20" s="38"/>
      <c r="D20" s="223"/>
      <c r="E20" s="223"/>
      <c r="F20" s="49"/>
      <c r="G20" s="223"/>
      <c r="H20" s="49"/>
      <c r="I20" s="49"/>
      <c r="J20" s="223"/>
      <c r="K20" s="49"/>
      <c r="L20" s="49"/>
      <c r="M20" s="49"/>
      <c r="N20" s="49"/>
      <c r="O20" s="223"/>
      <c r="P20" s="90"/>
      <c r="Q20" s="49"/>
      <c r="R20" s="223"/>
      <c r="S20" s="223"/>
      <c r="T20" s="223"/>
      <c r="U20" s="223"/>
      <c r="V20" s="49"/>
      <c r="W20" s="223"/>
      <c r="X20" s="223"/>
      <c r="Y20" s="223"/>
      <c r="Z20" s="223"/>
      <c r="AA20" s="89"/>
      <c r="AB20" s="256"/>
      <c r="AC20" s="256"/>
      <c r="AD20" s="256"/>
      <c r="AE20" s="225"/>
      <c r="AF20" s="89"/>
      <c r="AG20" s="89"/>
      <c r="AH20" s="89"/>
      <c r="AI20" s="89"/>
      <c r="AJ20" s="89"/>
      <c r="AK20" s="89"/>
      <c r="AL20" s="90"/>
    </row>
    <row r="21" spans="2:38" ht="15" customHeight="1">
      <c r="B21" s="137" t="s">
        <v>342</v>
      </c>
      <c r="C21" s="89">
        <v>1641</v>
      </c>
      <c r="D21" s="225" t="s">
        <v>284</v>
      </c>
      <c r="E21" s="225">
        <v>20</v>
      </c>
      <c r="F21" s="89">
        <v>14</v>
      </c>
      <c r="G21" s="225">
        <v>354</v>
      </c>
      <c r="H21" s="89">
        <v>96</v>
      </c>
      <c r="I21" s="89">
        <v>100</v>
      </c>
      <c r="J21" s="225">
        <v>25</v>
      </c>
      <c r="K21" s="89">
        <v>38</v>
      </c>
      <c r="L21" s="89">
        <v>22</v>
      </c>
      <c r="M21" s="89">
        <v>14</v>
      </c>
      <c r="N21" s="89">
        <v>51</v>
      </c>
      <c r="O21" s="223">
        <v>71</v>
      </c>
      <c r="P21" s="90">
        <v>4</v>
      </c>
      <c r="Q21" s="49">
        <f t="shared" si="4"/>
        <v>519</v>
      </c>
      <c r="R21" s="223">
        <v>354</v>
      </c>
      <c r="S21" s="223">
        <v>20</v>
      </c>
      <c r="T21" s="223">
        <v>110</v>
      </c>
      <c r="U21" s="223">
        <v>18</v>
      </c>
      <c r="V21" s="49">
        <v>17</v>
      </c>
      <c r="W21" s="223">
        <v>40</v>
      </c>
      <c r="X21" s="223">
        <v>97</v>
      </c>
      <c r="Y21" s="256" t="s">
        <v>284</v>
      </c>
      <c r="Z21" s="223">
        <v>25</v>
      </c>
      <c r="AA21" s="89">
        <v>31</v>
      </c>
      <c r="AB21" s="256" t="s">
        <v>284</v>
      </c>
      <c r="AC21" s="256">
        <v>9</v>
      </c>
      <c r="AD21" s="256">
        <v>7</v>
      </c>
      <c r="AE21" s="225">
        <v>17</v>
      </c>
      <c r="AF21" s="89">
        <v>333</v>
      </c>
      <c r="AG21" s="89">
        <v>75</v>
      </c>
      <c r="AH21" s="89">
        <v>28</v>
      </c>
      <c r="AI21" s="89">
        <f t="shared" si="5"/>
        <v>47</v>
      </c>
      <c r="AJ21" s="89">
        <v>18</v>
      </c>
      <c r="AK21" s="89">
        <v>4</v>
      </c>
      <c r="AL21" s="90">
        <v>3</v>
      </c>
    </row>
    <row r="22" spans="2:38" ht="15" customHeight="1">
      <c r="B22" s="137" t="s">
        <v>343</v>
      </c>
      <c r="C22" s="89">
        <v>459</v>
      </c>
      <c r="D22" s="225" t="s">
        <v>284</v>
      </c>
      <c r="E22" s="225">
        <v>6</v>
      </c>
      <c r="F22" s="89">
        <v>6</v>
      </c>
      <c r="G22" s="225">
        <v>102</v>
      </c>
      <c r="H22" s="89">
        <v>24</v>
      </c>
      <c r="I22" s="89">
        <v>39</v>
      </c>
      <c r="J22" s="225">
        <v>5</v>
      </c>
      <c r="K22" s="89">
        <v>9</v>
      </c>
      <c r="L22" s="89">
        <v>4</v>
      </c>
      <c r="M22" s="89">
        <v>4</v>
      </c>
      <c r="N22" s="89">
        <v>16</v>
      </c>
      <c r="O22" s="223">
        <v>18</v>
      </c>
      <c r="P22" s="90" t="s">
        <v>284</v>
      </c>
      <c r="Q22" s="49">
        <f t="shared" si="4"/>
        <v>154</v>
      </c>
      <c r="R22" s="223">
        <v>108</v>
      </c>
      <c r="S22" s="223">
        <v>8</v>
      </c>
      <c r="T22" s="223">
        <v>33</v>
      </c>
      <c r="U22" s="256">
        <v>1</v>
      </c>
      <c r="V22" s="49">
        <v>4</v>
      </c>
      <c r="W22" s="223">
        <v>6</v>
      </c>
      <c r="X22" s="223">
        <v>37</v>
      </c>
      <c r="Y22" s="256" t="s">
        <v>284</v>
      </c>
      <c r="Z22" s="223">
        <v>10</v>
      </c>
      <c r="AA22" s="89">
        <v>7</v>
      </c>
      <c r="AB22" s="256">
        <v>1</v>
      </c>
      <c r="AC22" s="256">
        <v>1</v>
      </c>
      <c r="AD22" s="256" t="s">
        <v>284</v>
      </c>
      <c r="AE22" s="256">
        <v>3</v>
      </c>
      <c r="AF22" s="89">
        <v>85</v>
      </c>
      <c r="AG22" s="89">
        <v>13</v>
      </c>
      <c r="AH22" s="89">
        <v>2</v>
      </c>
      <c r="AI22" s="89">
        <f t="shared" si="5"/>
        <v>11</v>
      </c>
      <c r="AJ22" s="89">
        <v>9</v>
      </c>
      <c r="AK22" s="90" t="s">
        <v>284</v>
      </c>
      <c r="AL22" s="90">
        <v>1</v>
      </c>
    </row>
    <row r="23" spans="2:38" ht="15" customHeight="1">
      <c r="B23" s="137" t="s">
        <v>344</v>
      </c>
      <c r="C23" s="89">
        <v>1422</v>
      </c>
      <c r="D23" s="225" t="s">
        <v>284</v>
      </c>
      <c r="E23" s="225">
        <v>10</v>
      </c>
      <c r="F23" s="89">
        <v>21</v>
      </c>
      <c r="G23" s="225">
        <v>313</v>
      </c>
      <c r="H23" s="89">
        <v>81</v>
      </c>
      <c r="I23" s="89">
        <v>86</v>
      </c>
      <c r="J23" s="225">
        <v>15</v>
      </c>
      <c r="K23" s="89">
        <v>43</v>
      </c>
      <c r="L23" s="89">
        <v>20</v>
      </c>
      <c r="M23" s="89">
        <v>12</v>
      </c>
      <c r="N23" s="89">
        <v>48</v>
      </c>
      <c r="O23" s="223">
        <v>72</v>
      </c>
      <c r="P23" s="90">
        <v>2</v>
      </c>
      <c r="Q23" s="49">
        <f t="shared" si="4"/>
        <v>405</v>
      </c>
      <c r="R23" s="223">
        <v>302</v>
      </c>
      <c r="S23" s="223">
        <v>32</v>
      </c>
      <c r="T23" s="223">
        <v>59</v>
      </c>
      <c r="U23" s="223">
        <v>4</v>
      </c>
      <c r="V23" s="49">
        <v>8</v>
      </c>
      <c r="W23" s="223">
        <v>35</v>
      </c>
      <c r="X23" s="223">
        <v>97</v>
      </c>
      <c r="Y23" s="223">
        <v>3</v>
      </c>
      <c r="Z23" s="223">
        <v>17</v>
      </c>
      <c r="AA23" s="89">
        <v>27</v>
      </c>
      <c r="AB23" s="256" t="s">
        <v>284</v>
      </c>
      <c r="AC23" s="256">
        <v>4</v>
      </c>
      <c r="AD23" s="256">
        <v>6</v>
      </c>
      <c r="AE23" s="225">
        <v>9</v>
      </c>
      <c r="AF23" s="89">
        <v>310</v>
      </c>
      <c r="AG23" s="89">
        <v>64</v>
      </c>
      <c r="AH23" s="89">
        <v>12</v>
      </c>
      <c r="AI23" s="89">
        <f t="shared" si="5"/>
        <v>52</v>
      </c>
      <c r="AJ23" s="89">
        <v>23</v>
      </c>
      <c r="AK23" s="89">
        <v>1</v>
      </c>
      <c r="AL23" s="90">
        <v>3</v>
      </c>
    </row>
    <row r="24" spans="2:38" ht="15" customHeight="1">
      <c r="B24" s="137" t="s">
        <v>345</v>
      </c>
      <c r="C24" s="89">
        <v>534</v>
      </c>
      <c r="D24" s="225" t="s">
        <v>284</v>
      </c>
      <c r="E24" s="225">
        <v>6</v>
      </c>
      <c r="F24" s="89">
        <v>3</v>
      </c>
      <c r="G24" s="225">
        <v>132</v>
      </c>
      <c r="H24" s="89">
        <v>34</v>
      </c>
      <c r="I24" s="89">
        <v>39</v>
      </c>
      <c r="J24" s="225">
        <v>6</v>
      </c>
      <c r="K24" s="89">
        <v>15</v>
      </c>
      <c r="L24" s="89">
        <v>6</v>
      </c>
      <c r="M24" s="89">
        <v>4</v>
      </c>
      <c r="N24" s="89">
        <v>26</v>
      </c>
      <c r="O24" s="223">
        <v>9</v>
      </c>
      <c r="P24" s="90" t="s">
        <v>284</v>
      </c>
      <c r="Q24" s="49">
        <f t="shared" si="4"/>
        <v>189</v>
      </c>
      <c r="R24" s="223">
        <v>140</v>
      </c>
      <c r="S24" s="223">
        <v>15</v>
      </c>
      <c r="T24" s="223">
        <v>27</v>
      </c>
      <c r="U24" s="223">
        <v>2</v>
      </c>
      <c r="V24" s="49">
        <v>5</v>
      </c>
      <c r="W24" s="223">
        <v>9</v>
      </c>
      <c r="X24" s="223">
        <v>38</v>
      </c>
      <c r="Y24" s="256">
        <v>1</v>
      </c>
      <c r="Z24" s="223">
        <v>6</v>
      </c>
      <c r="AA24" s="89">
        <v>13</v>
      </c>
      <c r="AB24" s="256" t="s">
        <v>284</v>
      </c>
      <c r="AC24" s="256">
        <v>1</v>
      </c>
      <c r="AD24" s="256" t="s">
        <v>284</v>
      </c>
      <c r="AE24" s="225">
        <v>5</v>
      </c>
      <c r="AF24" s="89">
        <v>91</v>
      </c>
      <c r="AG24" s="89">
        <v>21</v>
      </c>
      <c r="AH24" s="89">
        <v>10</v>
      </c>
      <c r="AI24" s="89">
        <f t="shared" si="5"/>
        <v>11</v>
      </c>
      <c r="AJ24" s="89">
        <v>10</v>
      </c>
      <c r="AK24" s="90" t="s">
        <v>284</v>
      </c>
      <c r="AL24" s="90" t="s">
        <v>284</v>
      </c>
    </row>
    <row r="25" spans="2:38" ht="15" customHeight="1">
      <c r="B25" s="137" t="s">
        <v>346</v>
      </c>
      <c r="C25" s="89">
        <v>290</v>
      </c>
      <c r="D25" s="225" t="s">
        <v>284</v>
      </c>
      <c r="E25" s="225">
        <v>2</v>
      </c>
      <c r="F25" s="225" t="s">
        <v>284</v>
      </c>
      <c r="G25" s="225">
        <v>67</v>
      </c>
      <c r="H25" s="89">
        <v>21</v>
      </c>
      <c r="I25" s="89">
        <v>14</v>
      </c>
      <c r="J25" s="225">
        <v>2</v>
      </c>
      <c r="K25" s="89">
        <v>4</v>
      </c>
      <c r="L25" s="89">
        <v>4</v>
      </c>
      <c r="M25" s="89">
        <v>5</v>
      </c>
      <c r="N25" s="89">
        <v>16</v>
      </c>
      <c r="O25" s="223">
        <v>7</v>
      </c>
      <c r="P25" s="90" t="s">
        <v>284</v>
      </c>
      <c r="Q25" s="49">
        <f t="shared" si="4"/>
        <v>76</v>
      </c>
      <c r="R25" s="223">
        <v>54</v>
      </c>
      <c r="S25" s="223">
        <v>1</v>
      </c>
      <c r="T25" s="223">
        <v>15</v>
      </c>
      <c r="U25" s="256">
        <v>1</v>
      </c>
      <c r="V25" s="90">
        <v>5</v>
      </c>
      <c r="W25" s="223">
        <v>6</v>
      </c>
      <c r="X25" s="223">
        <v>26</v>
      </c>
      <c r="Y25" s="256">
        <v>1</v>
      </c>
      <c r="Z25" s="256">
        <v>4</v>
      </c>
      <c r="AA25" s="89">
        <v>5</v>
      </c>
      <c r="AB25" s="256" t="s">
        <v>284</v>
      </c>
      <c r="AC25" s="256" t="s">
        <v>284</v>
      </c>
      <c r="AD25" s="256" t="s">
        <v>284</v>
      </c>
      <c r="AE25" s="225">
        <v>3</v>
      </c>
      <c r="AF25" s="89">
        <v>74</v>
      </c>
      <c r="AG25" s="89">
        <v>11</v>
      </c>
      <c r="AH25" s="89">
        <v>2</v>
      </c>
      <c r="AI25" s="89">
        <f t="shared" si="5"/>
        <v>9</v>
      </c>
      <c r="AJ25" s="89">
        <v>7</v>
      </c>
      <c r="AK25" s="90">
        <v>1</v>
      </c>
      <c r="AL25" s="90" t="s">
        <v>284</v>
      </c>
    </row>
    <row r="26" spans="2:38" ht="12.75" customHeight="1">
      <c r="B26" s="137"/>
      <c r="C26" s="38"/>
      <c r="D26" s="223"/>
      <c r="E26" s="223"/>
      <c r="F26" s="49"/>
      <c r="G26" s="223"/>
      <c r="H26" s="49"/>
      <c r="I26" s="49"/>
      <c r="J26" s="223"/>
      <c r="K26" s="49"/>
      <c r="L26" s="49"/>
      <c r="M26" s="49"/>
      <c r="N26" s="49"/>
      <c r="O26" s="223"/>
      <c r="P26" s="90"/>
      <c r="Q26" s="49"/>
      <c r="R26" s="223"/>
      <c r="S26" s="223"/>
      <c r="T26" s="223"/>
      <c r="U26" s="223"/>
      <c r="V26" s="49"/>
      <c r="W26" s="223"/>
      <c r="X26" s="223"/>
      <c r="Y26" s="223"/>
      <c r="Z26" s="223"/>
      <c r="AA26" s="89"/>
      <c r="AB26" s="225"/>
      <c r="AC26" s="256"/>
      <c r="AD26" s="225"/>
      <c r="AE26" s="225"/>
      <c r="AF26" s="89"/>
      <c r="AG26" s="89"/>
      <c r="AH26" s="89"/>
      <c r="AI26" s="89"/>
      <c r="AJ26" s="89"/>
      <c r="AK26" s="89"/>
      <c r="AL26" s="89"/>
    </row>
    <row r="27" spans="2:38" ht="15" customHeight="1">
      <c r="B27" s="137" t="s">
        <v>347</v>
      </c>
      <c r="C27" s="89">
        <v>285</v>
      </c>
      <c r="D27" s="225" t="s">
        <v>284</v>
      </c>
      <c r="E27" s="225">
        <v>3</v>
      </c>
      <c r="F27" s="89">
        <v>1</v>
      </c>
      <c r="G27" s="225">
        <v>74</v>
      </c>
      <c r="H27" s="89">
        <v>19</v>
      </c>
      <c r="I27" s="89">
        <v>34</v>
      </c>
      <c r="J27" s="225">
        <v>2</v>
      </c>
      <c r="K27" s="89">
        <v>5</v>
      </c>
      <c r="L27" s="89">
        <v>4</v>
      </c>
      <c r="M27" s="89">
        <v>1</v>
      </c>
      <c r="N27" s="89">
        <v>9</v>
      </c>
      <c r="O27" s="223">
        <v>2</v>
      </c>
      <c r="P27" s="90" t="s">
        <v>284</v>
      </c>
      <c r="Q27" s="49">
        <f t="shared" si="4"/>
        <v>100</v>
      </c>
      <c r="R27" s="223">
        <v>74</v>
      </c>
      <c r="S27" s="256">
        <v>3</v>
      </c>
      <c r="T27" s="223">
        <v>21</v>
      </c>
      <c r="U27" s="256" t="s">
        <v>284</v>
      </c>
      <c r="V27" s="49">
        <v>2</v>
      </c>
      <c r="W27" s="223">
        <v>6</v>
      </c>
      <c r="X27" s="223">
        <v>23</v>
      </c>
      <c r="Y27" s="256" t="s">
        <v>284</v>
      </c>
      <c r="Z27" s="223">
        <v>3</v>
      </c>
      <c r="AA27" s="89">
        <v>5</v>
      </c>
      <c r="AB27" s="256" t="s">
        <v>284</v>
      </c>
      <c r="AC27" s="256" t="s">
        <v>284</v>
      </c>
      <c r="AD27" s="256" t="s">
        <v>284</v>
      </c>
      <c r="AE27" s="225">
        <v>3</v>
      </c>
      <c r="AF27" s="89">
        <v>51</v>
      </c>
      <c r="AG27" s="89">
        <v>9</v>
      </c>
      <c r="AH27" s="89">
        <v>2</v>
      </c>
      <c r="AI27" s="89">
        <f t="shared" si="5"/>
        <v>7</v>
      </c>
      <c r="AJ27" s="90">
        <v>5</v>
      </c>
      <c r="AK27" s="90" t="s">
        <v>284</v>
      </c>
      <c r="AL27" s="90" t="s">
        <v>284</v>
      </c>
    </row>
    <row r="28" spans="2:38" ht="15" customHeight="1">
      <c r="B28" s="137" t="s">
        <v>348</v>
      </c>
      <c r="C28" s="89">
        <v>348</v>
      </c>
      <c r="D28" s="225" t="s">
        <v>284</v>
      </c>
      <c r="E28" s="225">
        <v>7</v>
      </c>
      <c r="F28" s="89">
        <v>6</v>
      </c>
      <c r="G28" s="225">
        <v>78</v>
      </c>
      <c r="H28" s="89">
        <v>21</v>
      </c>
      <c r="I28" s="89">
        <v>28</v>
      </c>
      <c r="J28" s="225">
        <v>6</v>
      </c>
      <c r="K28" s="89">
        <v>10</v>
      </c>
      <c r="L28" s="89">
        <v>4</v>
      </c>
      <c r="M28" s="89">
        <v>1</v>
      </c>
      <c r="N28" s="89">
        <v>8</v>
      </c>
      <c r="O28" s="223">
        <v>11</v>
      </c>
      <c r="P28" s="90" t="s">
        <v>284</v>
      </c>
      <c r="Q28" s="49">
        <f t="shared" si="4"/>
        <v>109</v>
      </c>
      <c r="R28" s="223">
        <v>88</v>
      </c>
      <c r="S28" s="223">
        <v>3</v>
      </c>
      <c r="T28" s="223">
        <v>14</v>
      </c>
      <c r="U28" s="256" t="s">
        <v>284</v>
      </c>
      <c r="V28" s="49">
        <v>4</v>
      </c>
      <c r="W28" s="223">
        <v>7</v>
      </c>
      <c r="X28" s="223">
        <v>19</v>
      </c>
      <c r="Y28" s="256">
        <v>1</v>
      </c>
      <c r="Z28" s="223">
        <v>6</v>
      </c>
      <c r="AA28" s="89">
        <v>11</v>
      </c>
      <c r="AB28" s="256" t="s">
        <v>284</v>
      </c>
      <c r="AC28" s="256">
        <v>4</v>
      </c>
      <c r="AD28" s="256" t="s">
        <v>284</v>
      </c>
      <c r="AE28" s="225">
        <v>6</v>
      </c>
      <c r="AF28" s="89">
        <v>63</v>
      </c>
      <c r="AG28" s="89">
        <v>17</v>
      </c>
      <c r="AH28" s="89">
        <v>6</v>
      </c>
      <c r="AI28" s="89">
        <f t="shared" si="5"/>
        <v>11</v>
      </c>
      <c r="AJ28" s="89">
        <v>2</v>
      </c>
      <c r="AK28" s="90" t="s">
        <v>284</v>
      </c>
      <c r="AL28" s="90">
        <v>1</v>
      </c>
    </row>
    <row r="29" spans="2:38" ht="15" customHeight="1">
      <c r="B29" s="137" t="s">
        <v>349</v>
      </c>
      <c r="C29" s="89">
        <v>373</v>
      </c>
      <c r="D29" s="225" t="s">
        <v>284</v>
      </c>
      <c r="E29" s="225">
        <v>6</v>
      </c>
      <c r="F29" s="89">
        <v>4</v>
      </c>
      <c r="G29" s="225">
        <v>99</v>
      </c>
      <c r="H29" s="89">
        <v>24</v>
      </c>
      <c r="I29" s="89">
        <v>28</v>
      </c>
      <c r="J29" s="225">
        <v>7</v>
      </c>
      <c r="K29" s="89">
        <v>13</v>
      </c>
      <c r="L29" s="89">
        <v>5</v>
      </c>
      <c r="M29" s="89">
        <v>3</v>
      </c>
      <c r="N29" s="89">
        <v>19</v>
      </c>
      <c r="O29" s="223">
        <v>9</v>
      </c>
      <c r="P29" s="90">
        <v>1</v>
      </c>
      <c r="Q29" s="49">
        <f t="shared" si="4"/>
        <v>126</v>
      </c>
      <c r="R29" s="223">
        <v>103</v>
      </c>
      <c r="S29" s="223">
        <v>3</v>
      </c>
      <c r="T29" s="223">
        <v>17</v>
      </c>
      <c r="U29" s="256" t="s">
        <v>284</v>
      </c>
      <c r="V29" s="49">
        <v>3</v>
      </c>
      <c r="W29" s="223">
        <v>5</v>
      </c>
      <c r="X29" s="223">
        <v>35</v>
      </c>
      <c r="Y29" s="256">
        <v>1</v>
      </c>
      <c r="Z29" s="256">
        <v>5</v>
      </c>
      <c r="AA29" s="89">
        <v>8</v>
      </c>
      <c r="AB29" s="256" t="s">
        <v>284</v>
      </c>
      <c r="AC29" s="256">
        <v>1</v>
      </c>
      <c r="AD29" s="256" t="s">
        <v>284</v>
      </c>
      <c r="AE29" s="256" t="s">
        <v>284</v>
      </c>
      <c r="AF29" s="89">
        <v>49</v>
      </c>
      <c r="AG29" s="89">
        <v>15</v>
      </c>
      <c r="AH29" s="89">
        <v>6</v>
      </c>
      <c r="AI29" s="89">
        <f t="shared" si="5"/>
        <v>9</v>
      </c>
      <c r="AJ29" s="89">
        <v>8</v>
      </c>
      <c r="AK29" s="90">
        <v>1</v>
      </c>
      <c r="AL29" s="90" t="s">
        <v>284</v>
      </c>
    </row>
    <row r="30" spans="2:38" ht="15" customHeight="1">
      <c r="B30" s="137" t="s">
        <v>350</v>
      </c>
      <c r="C30" s="89">
        <v>624</v>
      </c>
      <c r="D30" s="225" t="s">
        <v>284</v>
      </c>
      <c r="E30" s="225">
        <v>4</v>
      </c>
      <c r="F30" s="89">
        <v>6</v>
      </c>
      <c r="G30" s="225">
        <v>139</v>
      </c>
      <c r="H30" s="89">
        <v>35</v>
      </c>
      <c r="I30" s="89">
        <v>36</v>
      </c>
      <c r="J30" s="225">
        <v>7</v>
      </c>
      <c r="K30" s="89">
        <v>17</v>
      </c>
      <c r="L30" s="89">
        <v>12</v>
      </c>
      <c r="M30" s="89">
        <v>7</v>
      </c>
      <c r="N30" s="89">
        <v>20</v>
      </c>
      <c r="O30" s="223">
        <v>16</v>
      </c>
      <c r="P30" s="90" t="s">
        <v>284</v>
      </c>
      <c r="Q30" s="49">
        <f t="shared" si="4"/>
        <v>203</v>
      </c>
      <c r="R30" s="223">
        <v>153</v>
      </c>
      <c r="S30" s="223">
        <v>7</v>
      </c>
      <c r="T30" s="223">
        <v>38</v>
      </c>
      <c r="U30" s="256">
        <v>2</v>
      </c>
      <c r="V30" s="49">
        <v>3</v>
      </c>
      <c r="W30" s="223">
        <v>6</v>
      </c>
      <c r="X30" s="223">
        <v>43</v>
      </c>
      <c r="Y30" s="256" t="s">
        <v>284</v>
      </c>
      <c r="Z30" s="223">
        <v>5</v>
      </c>
      <c r="AA30" s="89">
        <v>9</v>
      </c>
      <c r="AB30" s="256" t="s">
        <v>284</v>
      </c>
      <c r="AC30" s="256">
        <v>4</v>
      </c>
      <c r="AD30" s="256" t="s">
        <v>284</v>
      </c>
      <c r="AE30" s="225">
        <v>10</v>
      </c>
      <c r="AF30" s="89">
        <v>139</v>
      </c>
      <c r="AG30" s="89">
        <v>33</v>
      </c>
      <c r="AH30" s="89">
        <v>8</v>
      </c>
      <c r="AI30" s="89">
        <f t="shared" si="5"/>
        <v>25</v>
      </c>
      <c r="AJ30" s="89">
        <v>5</v>
      </c>
      <c r="AK30" s="90" t="s">
        <v>284</v>
      </c>
      <c r="AL30" s="90">
        <v>2</v>
      </c>
    </row>
    <row r="31" spans="2:38" ht="15" customHeight="1">
      <c r="B31" s="137" t="s">
        <v>351</v>
      </c>
      <c r="C31" s="89">
        <v>170</v>
      </c>
      <c r="D31" s="225" t="s">
        <v>284</v>
      </c>
      <c r="E31" s="225">
        <v>2</v>
      </c>
      <c r="F31" s="89">
        <v>1</v>
      </c>
      <c r="G31" s="225">
        <v>39</v>
      </c>
      <c r="H31" s="89">
        <v>11</v>
      </c>
      <c r="I31" s="89">
        <v>12</v>
      </c>
      <c r="J31" s="225">
        <v>2</v>
      </c>
      <c r="K31" s="89">
        <v>2</v>
      </c>
      <c r="L31" s="89">
        <v>3</v>
      </c>
      <c r="M31" s="89">
        <v>2</v>
      </c>
      <c r="N31" s="89">
        <v>7</v>
      </c>
      <c r="O31" s="223">
        <v>2</v>
      </c>
      <c r="P31" s="90" t="s">
        <v>284</v>
      </c>
      <c r="Q31" s="49">
        <f t="shared" si="4"/>
        <v>58</v>
      </c>
      <c r="R31" s="223">
        <v>44</v>
      </c>
      <c r="S31" s="256">
        <v>1</v>
      </c>
      <c r="T31" s="223">
        <v>11</v>
      </c>
      <c r="U31" s="256" t="s">
        <v>284</v>
      </c>
      <c r="V31" s="49">
        <v>2</v>
      </c>
      <c r="W31" s="256">
        <v>3</v>
      </c>
      <c r="X31" s="223">
        <v>11</v>
      </c>
      <c r="Y31" s="256" t="s">
        <v>284</v>
      </c>
      <c r="Z31" s="223">
        <v>2</v>
      </c>
      <c r="AA31" s="89">
        <v>6</v>
      </c>
      <c r="AB31" s="256" t="s">
        <v>284</v>
      </c>
      <c r="AC31" s="256">
        <v>1</v>
      </c>
      <c r="AD31" s="256" t="s">
        <v>284</v>
      </c>
      <c r="AE31" s="225">
        <v>1</v>
      </c>
      <c r="AF31" s="89">
        <v>31</v>
      </c>
      <c r="AG31" s="89">
        <v>10</v>
      </c>
      <c r="AH31" s="89">
        <v>6</v>
      </c>
      <c r="AI31" s="89">
        <f t="shared" si="5"/>
        <v>4</v>
      </c>
      <c r="AJ31" s="90">
        <v>2</v>
      </c>
      <c r="AK31" s="90">
        <v>1</v>
      </c>
      <c r="AL31" s="90" t="s">
        <v>284</v>
      </c>
    </row>
    <row r="32" spans="2:38" ht="12.75" customHeight="1">
      <c r="B32" s="137"/>
      <c r="C32" s="38"/>
      <c r="D32" s="223"/>
      <c r="E32" s="223"/>
      <c r="F32" s="49"/>
      <c r="G32" s="223"/>
      <c r="H32" s="49"/>
      <c r="I32" s="49"/>
      <c r="J32" s="223"/>
      <c r="K32" s="49"/>
      <c r="L32" s="49"/>
      <c r="M32" s="49"/>
      <c r="N32" s="49"/>
      <c r="O32" s="223"/>
      <c r="P32" s="90"/>
      <c r="Q32" s="49"/>
      <c r="R32" s="223"/>
      <c r="S32" s="256"/>
      <c r="T32" s="223"/>
      <c r="U32" s="223"/>
      <c r="V32" s="49"/>
      <c r="W32" s="223"/>
      <c r="X32" s="223"/>
      <c r="Y32" s="256"/>
      <c r="Z32" s="223"/>
      <c r="AA32" s="89"/>
      <c r="AB32" s="225"/>
      <c r="AC32" s="225"/>
      <c r="AD32" s="256"/>
      <c r="AE32" s="225"/>
      <c r="AF32" s="89"/>
      <c r="AG32" s="89"/>
      <c r="AH32" s="89"/>
      <c r="AI32" s="89"/>
      <c r="AJ32" s="89"/>
      <c r="AK32" s="89"/>
      <c r="AL32" s="90"/>
    </row>
    <row r="33" spans="2:38" ht="15" customHeight="1">
      <c r="B33" s="137" t="s">
        <v>352</v>
      </c>
      <c r="C33" s="89">
        <v>438</v>
      </c>
      <c r="D33" s="225" t="s">
        <v>284</v>
      </c>
      <c r="E33" s="225">
        <v>5</v>
      </c>
      <c r="F33" s="89">
        <v>8</v>
      </c>
      <c r="G33" s="225">
        <v>100</v>
      </c>
      <c r="H33" s="89">
        <v>27</v>
      </c>
      <c r="I33" s="89">
        <v>24</v>
      </c>
      <c r="J33" s="225">
        <v>5</v>
      </c>
      <c r="K33" s="89">
        <v>10</v>
      </c>
      <c r="L33" s="89">
        <v>7</v>
      </c>
      <c r="M33" s="89">
        <v>11</v>
      </c>
      <c r="N33" s="89">
        <v>16</v>
      </c>
      <c r="O33" s="223">
        <v>12</v>
      </c>
      <c r="P33" s="90" t="s">
        <v>284</v>
      </c>
      <c r="Q33" s="49">
        <f t="shared" si="4"/>
        <v>140</v>
      </c>
      <c r="R33" s="223">
        <v>115</v>
      </c>
      <c r="S33" s="256">
        <v>3</v>
      </c>
      <c r="T33" s="223">
        <v>17</v>
      </c>
      <c r="U33" s="223">
        <v>1</v>
      </c>
      <c r="V33" s="49">
        <v>4</v>
      </c>
      <c r="W33" s="223">
        <v>16</v>
      </c>
      <c r="X33" s="223">
        <v>39</v>
      </c>
      <c r="Y33" s="256">
        <v>2</v>
      </c>
      <c r="Z33" s="223">
        <v>6</v>
      </c>
      <c r="AA33" s="89">
        <v>5</v>
      </c>
      <c r="AB33" s="256" t="s">
        <v>284</v>
      </c>
      <c r="AC33" s="256">
        <v>1</v>
      </c>
      <c r="AD33" s="256">
        <v>1</v>
      </c>
      <c r="AE33" s="225">
        <v>2</v>
      </c>
      <c r="AF33" s="89">
        <v>81</v>
      </c>
      <c r="AG33" s="89">
        <v>17</v>
      </c>
      <c r="AH33" s="89">
        <v>5</v>
      </c>
      <c r="AI33" s="89">
        <f t="shared" si="5"/>
        <v>12</v>
      </c>
      <c r="AJ33" s="90" t="s">
        <v>284</v>
      </c>
      <c r="AK33" s="90" t="s">
        <v>284</v>
      </c>
      <c r="AL33" s="90">
        <v>3</v>
      </c>
    </row>
    <row r="34" spans="2:38" ht="15" customHeight="1">
      <c r="B34" s="137" t="s">
        <v>353</v>
      </c>
      <c r="C34" s="89">
        <v>304</v>
      </c>
      <c r="D34" s="225" t="s">
        <v>284</v>
      </c>
      <c r="E34" s="225">
        <v>5</v>
      </c>
      <c r="F34" s="89">
        <v>1</v>
      </c>
      <c r="G34" s="225">
        <v>72</v>
      </c>
      <c r="H34" s="89">
        <v>18</v>
      </c>
      <c r="I34" s="89">
        <v>22</v>
      </c>
      <c r="J34" s="225">
        <v>1</v>
      </c>
      <c r="K34" s="89">
        <v>7</v>
      </c>
      <c r="L34" s="89">
        <v>3</v>
      </c>
      <c r="M34" s="89">
        <v>5</v>
      </c>
      <c r="N34" s="89">
        <v>14</v>
      </c>
      <c r="O34" s="223">
        <v>6</v>
      </c>
      <c r="P34" s="90" t="s">
        <v>284</v>
      </c>
      <c r="Q34" s="49">
        <f t="shared" si="4"/>
        <v>105</v>
      </c>
      <c r="R34" s="223">
        <v>74</v>
      </c>
      <c r="S34" s="223">
        <v>2</v>
      </c>
      <c r="T34" s="223">
        <v>22</v>
      </c>
      <c r="U34" s="223">
        <v>5</v>
      </c>
      <c r="V34" s="49">
        <v>2</v>
      </c>
      <c r="W34" s="223">
        <v>3</v>
      </c>
      <c r="X34" s="223">
        <v>13</v>
      </c>
      <c r="Y34" s="256">
        <v>2</v>
      </c>
      <c r="Z34" s="256">
        <v>4</v>
      </c>
      <c r="AA34" s="89">
        <v>3</v>
      </c>
      <c r="AB34" s="256" t="s">
        <v>284</v>
      </c>
      <c r="AC34" s="256">
        <v>4</v>
      </c>
      <c r="AD34" s="256">
        <v>2</v>
      </c>
      <c r="AE34" s="256">
        <v>3</v>
      </c>
      <c r="AF34" s="89">
        <v>61</v>
      </c>
      <c r="AG34" s="89">
        <v>13</v>
      </c>
      <c r="AH34" s="89">
        <v>2</v>
      </c>
      <c r="AI34" s="89">
        <f t="shared" si="5"/>
        <v>11</v>
      </c>
      <c r="AJ34" s="89">
        <v>7</v>
      </c>
      <c r="AK34" s="90" t="s">
        <v>284</v>
      </c>
      <c r="AL34" s="90" t="s">
        <v>284</v>
      </c>
    </row>
    <row r="35" spans="2:38" ht="15" customHeight="1">
      <c r="B35" s="137" t="s">
        <v>354</v>
      </c>
      <c r="C35" s="89">
        <v>1018</v>
      </c>
      <c r="D35" s="225" t="s">
        <v>284</v>
      </c>
      <c r="E35" s="225">
        <v>12</v>
      </c>
      <c r="F35" s="89">
        <v>9</v>
      </c>
      <c r="G35" s="225">
        <v>221</v>
      </c>
      <c r="H35" s="89">
        <v>61</v>
      </c>
      <c r="I35" s="89">
        <v>58</v>
      </c>
      <c r="J35" s="225">
        <v>19</v>
      </c>
      <c r="K35" s="89">
        <v>13</v>
      </c>
      <c r="L35" s="89">
        <v>14</v>
      </c>
      <c r="M35" s="89">
        <v>14</v>
      </c>
      <c r="N35" s="89">
        <v>34</v>
      </c>
      <c r="O35" s="223">
        <v>33</v>
      </c>
      <c r="P35" s="90">
        <v>1</v>
      </c>
      <c r="Q35" s="49">
        <f t="shared" si="4"/>
        <v>331</v>
      </c>
      <c r="R35" s="223">
        <v>265</v>
      </c>
      <c r="S35" s="223">
        <v>14</v>
      </c>
      <c r="T35" s="223">
        <v>41</v>
      </c>
      <c r="U35" s="223">
        <v>2</v>
      </c>
      <c r="V35" s="49">
        <v>9</v>
      </c>
      <c r="W35" s="223">
        <v>17</v>
      </c>
      <c r="X35" s="223">
        <v>66</v>
      </c>
      <c r="Y35" s="256">
        <v>1</v>
      </c>
      <c r="Z35" s="223">
        <v>18</v>
      </c>
      <c r="AA35" s="89">
        <v>22</v>
      </c>
      <c r="AB35" s="256" t="s">
        <v>284</v>
      </c>
      <c r="AC35" s="225">
        <v>4</v>
      </c>
      <c r="AD35" s="256">
        <v>4</v>
      </c>
      <c r="AE35" s="225">
        <v>7</v>
      </c>
      <c r="AF35" s="89">
        <v>199</v>
      </c>
      <c r="AG35" s="89">
        <v>56</v>
      </c>
      <c r="AH35" s="89">
        <v>11</v>
      </c>
      <c r="AI35" s="89">
        <f t="shared" si="5"/>
        <v>45</v>
      </c>
      <c r="AJ35" s="89">
        <v>13</v>
      </c>
      <c r="AK35" s="89">
        <v>1</v>
      </c>
      <c r="AL35" s="90">
        <v>3</v>
      </c>
    </row>
    <row r="36" spans="2:38" ht="15" customHeight="1">
      <c r="B36" s="137" t="s">
        <v>355</v>
      </c>
      <c r="C36" s="89">
        <v>357</v>
      </c>
      <c r="D36" s="225" t="s">
        <v>284</v>
      </c>
      <c r="E36" s="225">
        <v>1</v>
      </c>
      <c r="F36" s="89">
        <v>2</v>
      </c>
      <c r="G36" s="225">
        <v>79</v>
      </c>
      <c r="H36" s="89">
        <v>14</v>
      </c>
      <c r="I36" s="89">
        <v>26</v>
      </c>
      <c r="J36" s="225">
        <v>1</v>
      </c>
      <c r="K36" s="89">
        <v>11</v>
      </c>
      <c r="L36" s="89">
        <v>5</v>
      </c>
      <c r="M36" s="89">
        <v>5</v>
      </c>
      <c r="N36" s="89">
        <v>15</v>
      </c>
      <c r="O36" s="223">
        <v>9</v>
      </c>
      <c r="P36" s="90">
        <v>1</v>
      </c>
      <c r="Q36" s="49">
        <f t="shared" si="4"/>
        <v>116</v>
      </c>
      <c r="R36" s="223">
        <v>90</v>
      </c>
      <c r="S36" s="223">
        <v>1</v>
      </c>
      <c r="T36" s="223">
        <v>22</v>
      </c>
      <c r="U36" s="256" t="s">
        <v>284</v>
      </c>
      <c r="V36" s="49">
        <v>3</v>
      </c>
      <c r="W36" s="223">
        <v>4</v>
      </c>
      <c r="X36" s="223">
        <v>26</v>
      </c>
      <c r="Y36" s="256" t="s">
        <v>284</v>
      </c>
      <c r="Z36" s="256">
        <v>4</v>
      </c>
      <c r="AA36" s="89">
        <v>5</v>
      </c>
      <c r="AB36" s="256" t="s">
        <v>284</v>
      </c>
      <c r="AC36" s="256" t="s">
        <v>284</v>
      </c>
      <c r="AD36" s="256">
        <v>2</v>
      </c>
      <c r="AE36" s="225">
        <v>3</v>
      </c>
      <c r="AF36" s="89">
        <v>81</v>
      </c>
      <c r="AG36" s="89">
        <v>18</v>
      </c>
      <c r="AH36" s="89">
        <v>7</v>
      </c>
      <c r="AI36" s="89">
        <f t="shared" si="5"/>
        <v>11</v>
      </c>
      <c r="AJ36" s="89">
        <v>6</v>
      </c>
      <c r="AK36" s="90" t="s">
        <v>284</v>
      </c>
      <c r="AL36" s="90" t="s">
        <v>284</v>
      </c>
    </row>
    <row r="37" spans="2:38" ht="15" customHeight="1">
      <c r="B37" s="137" t="s">
        <v>356</v>
      </c>
      <c r="C37" s="89">
        <v>4328</v>
      </c>
      <c r="D37" s="225">
        <v>1</v>
      </c>
      <c r="E37" s="225">
        <v>43</v>
      </c>
      <c r="F37" s="89">
        <v>32</v>
      </c>
      <c r="G37" s="225">
        <v>935</v>
      </c>
      <c r="H37" s="89">
        <v>271</v>
      </c>
      <c r="I37" s="89">
        <v>280</v>
      </c>
      <c r="J37" s="225">
        <v>51</v>
      </c>
      <c r="K37" s="89">
        <v>85</v>
      </c>
      <c r="L37" s="89">
        <v>56</v>
      </c>
      <c r="M37" s="89">
        <v>26</v>
      </c>
      <c r="N37" s="89">
        <v>140</v>
      </c>
      <c r="O37" s="223">
        <v>186</v>
      </c>
      <c r="P37" s="90">
        <v>2</v>
      </c>
      <c r="Q37" s="49">
        <f t="shared" si="4"/>
        <v>1470</v>
      </c>
      <c r="R37" s="223">
        <v>1147</v>
      </c>
      <c r="S37" s="223">
        <v>41</v>
      </c>
      <c r="T37" s="223">
        <v>243</v>
      </c>
      <c r="U37" s="223">
        <v>7</v>
      </c>
      <c r="V37" s="49">
        <v>32</v>
      </c>
      <c r="W37" s="223">
        <v>57</v>
      </c>
      <c r="X37" s="223">
        <v>284</v>
      </c>
      <c r="Y37" s="256">
        <v>5</v>
      </c>
      <c r="Z37" s="223">
        <v>50</v>
      </c>
      <c r="AA37" s="89">
        <v>109</v>
      </c>
      <c r="AB37" s="256">
        <v>3</v>
      </c>
      <c r="AC37" s="225">
        <v>12</v>
      </c>
      <c r="AD37" s="256">
        <v>28</v>
      </c>
      <c r="AE37" s="225">
        <v>54</v>
      </c>
      <c r="AF37" s="89">
        <v>773</v>
      </c>
      <c r="AG37" s="89">
        <v>166</v>
      </c>
      <c r="AH37" s="89">
        <v>43</v>
      </c>
      <c r="AI37" s="89">
        <f t="shared" si="5"/>
        <v>123</v>
      </c>
      <c r="AJ37" s="89">
        <v>54</v>
      </c>
      <c r="AK37" s="89">
        <v>55</v>
      </c>
      <c r="AL37" s="90">
        <v>9</v>
      </c>
    </row>
    <row r="38" spans="2:38" ht="12.75" customHeight="1">
      <c r="B38" s="137"/>
      <c r="C38" s="38"/>
      <c r="D38" s="223"/>
      <c r="E38" s="223"/>
      <c r="F38" s="49"/>
      <c r="G38" s="223"/>
      <c r="H38" s="49"/>
      <c r="I38" s="49"/>
      <c r="J38" s="223"/>
      <c r="K38" s="49"/>
      <c r="L38" s="49"/>
      <c r="M38" s="49"/>
      <c r="N38" s="49"/>
      <c r="O38" s="223"/>
      <c r="P38" s="90"/>
      <c r="Q38" s="49"/>
      <c r="R38" s="223"/>
      <c r="S38" s="223"/>
      <c r="T38" s="223"/>
      <c r="U38" s="223"/>
      <c r="V38" s="49"/>
      <c r="W38" s="223"/>
      <c r="X38" s="223"/>
      <c r="Y38" s="223"/>
      <c r="Z38" s="223"/>
      <c r="AA38" s="89"/>
      <c r="AB38" s="225"/>
      <c r="AC38" s="225"/>
      <c r="AD38" s="256"/>
      <c r="AE38" s="225"/>
      <c r="AF38" s="89"/>
      <c r="AG38" s="89"/>
      <c r="AH38" s="89"/>
      <c r="AI38" s="89"/>
      <c r="AJ38" s="89"/>
      <c r="AK38" s="89"/>
      <c r="AL38" s="90"/>
    </row>
    <row r="39" spans="2:38" ht="15" customHeight="1">
      <c r="B39" s="137" t="s">
        <v>357</v>
      </c>
      <c r="C39" s="89">
        <v>354</v>
      </c>
      <c r="D39" s="225" t="s">
        <v>284</v>
      </c>
      <c r="E39" s="225">
        <v>7</v>
      </c>
      <c r="F39" s="89">
        <v>3</v>
      </c>
      <c r="G39" s="225">
        <v>93</v>
      </c>
      <c r="H39" s="89">
        <v>25</v>
      </c>
      <c r="I39" s="89">
        <v>35</v>
      </c>
      <c r="J39" s="225">
        <v>3</v>
      </c>
      <c r="K39" s="89">
        <v>8</v>
      </c>
      <c r="L39" s="89">
        <v>3</v>
      </c>
      <c r="M39" s="89">
        <v>6</v>
      </c>
      <c r="N39" s="89">
        <v>12</v>
      </c>
      <c r="O39" s="223">
        <v>14</v>
      </c>
      <c r="P39" s="90" t="s">
        <v>284</v>
      </c>
      <c r="Q39" s="49">
        <f t="shared" si="4"/>
        <v>103</v>
      </c>
      <c r="R39" s="223">
        <v>85</v>
      </c>
      <c r="S39" s="223">
        <v>4</v>
      </c>
      <c r="T39" s="223">
        <v>9</v>
      </c>
      <c r="U39" s="256" t="s">
        <v>284</v>
      </c>
      <c r="V39" s="49">
        <v>5</v>
      </c>
      <c r="W39" s="223">
        <v>6</v>
      </c>
      <c r="X39" s="223">
        <v>34</v>
      </c>
      <c r="Y39" s="256" t="s">
        <v>284</v>
      </c>
      <c r="Z39" s="223">
        <v>4</v>
      </c>
      <c r="AA39" s="89">
        <v>8</v>
      </c>
      <c r="AB39" s="256" t="s">
        <v>284</v>
      </c>
      <c r="AC39" s="256" t="s">
        <v>284</v>
      </c>
      <c r="AD39" s="256">
        <v>1</v>
      </c>
      <c r="AE39" s="225">
        <v>2</v>
      </c>
      <c r="AF39" s="89">
        <v>61</v>
      </c>
      <c r="AG39" s="89">
        <v>10</v>
      </c>
      <c r="AH39" s="89">
        <v>3</v>
      </c>
      <c r="AI39" s="89">
        <f t="shared" si="5"/>
        <v>7</v>
      </c>
      <c r="AJ39" s="89">
        <v>3</v>
      </c>
      <c r="AK39" s="90" t="s">
        <v>284</v>
      </c>
      <c r="AL39" s="90">
        <v>5</v>
      </c>
    </row>
    <row r="40" spans="2:38" ht="15" customHeight="1">
      <c r="B40" s="137" t="s">
        <v>358</v>
      </c>
      <c r="C40" s="89">
        <v>205</v>
      </c>
      <c r="D40" s="225" t="s">
        <v>284</v>
      </c>
      <c r="E40" s="225">
        <v>5</v>
      </c>
      <c r="F40" s="89">
        <v>2</v>
      </c>
      <c r="G40" s="225">
        <v>49</v>
      </c>
      <c r="H40" s="89">
        <v>13</v>
      </c>
      <c r="I40" s="89">
        <v>8</v>
      </c>
      <c r="J40" s="225">
        <v>2</v>
      </c>
      <c r="K40" s="89">
        <v>6</v>
      </c>
      <c r="L40" s="89">
        <v>3</v>
      </c>
      <c r="M40" s="89">
        <v>1</v>
      </c>
      <c r="N40" s="89">
        <v>15</v>
      </c>
      <c r="O40" s="256">
        <v>3</v>
      </c>
      <c r="P40" s="90" t="s">
        <v>284</v>
      </c>
      <c r="Q40" s="49">
        <f t="shared" si="4"/>
        <v>80</v>
      </c>
      <c r="R40" s="223">
        <v>57</v>
      </c>
      <c r="S40" s="256">
        <v>1</v>
      </c>
      <c r="T40" s="223">
        <v>16</v>
      </c>
      <c r="U40" s="256">
        <v>1</v>
      </c>
      <c r="V40" s="49">
        <v>5</v>
      </c>
      <c r="W40" s="223">
        <v>4</v>
      </c>
      <c r="X40" s="223">
        <v>12</v>
      </c>
      <c r="Y40" s="256">
        <v>1</v>
      </c>
      <c r="Z40" s="223">
        <v>4</v>
      </c>
      <c r="AA40" s="256" t="s">
        <v>284</v>
      </c>
      <c r="AB40" s="256" t="s">
        <v>284</v>
      </c>
      <c r="AC40" s="256" t="s">
        <v>284</v>
      </c>
      <c r="AD40" s="256" t="s">
        <v>284</v>
      </c>
      <c r="AE40" s="225">
        <v>1</v>
      </c>
      <c r="AF40" s="89">
        <v>33</v>
      </c>
      <c r="AG40" s="89">
        <v>6</v>
      </c>
      <c r="AH40" s="89">
        <v>3</v>
      </c>
      <c r="AI40" s="89">
        <f t="shared" si="5"/>
        <v>3</v>
      </c>
      <c r="AJ40" s="89">
        <v>4</v>
      </c>
      <c r="AK40" s="90" t="s">
        <v>284</v>
      </c>
      <c r="AL40" s="90">
        <v>1</v>
      </c>
    </row>
    <row r="41" spans="2:38" ht="15" customHeight="1">
      <c r="B41" s="137" t="s">
        <v>359</v>
      </c>
      <c r="C41" s="89">
        <v>816</v>
      </c>
      <c r="D41" s="225" t="s">
        <v>284</v>
      </c>
      <c r="E41" s="225">
        <v>2</v>
      </c>
      <c r="F41" s="89">
        <v>5</v>
      </c>
      <c r="G41" s="225">
        <v>191</v>
      </c>
      <c r="H41" s="89">
        <v>53</v>
      </c>
      <c r="I41" s="89">
        <v>54</v>
      </c>
      <c r="J41" s="225">
        <v>10</v>
      </c>
      <c r="K41" s="89">
        <v>15</v>
      </c>
      <c r="L41" s="89">
        <v>13</v>
      </c>
      <c r="M41" s="89">
        <v>5</v>
      </c>
      <c r="N41" s="89">
        <v>37</v>
      </c>
      <c r="O41" s="223">
        <v>17</v>
      </c>
      <c r="P41" s="90">
        <v>2</v>
      </c>
      <c r="Q41" s="49">
        <f t="shared" si="4"/>
        <v>218</v>
      </c>
      <c r="R41" s="223">
        <v>154</v>
      </c>
      <c r="S41" s="223">
        <v>9</v>
      </c>
      <c r="T41" s="223">
        <v>48</v>
      </c>
      <c r="U41" s="256">
        <v>1</v>
      </c>
      <c r="V41" s="49">
        <v>6</v>
      </c>
      <c r="W41" s="223">
        <v>10</v>
      </c>
      <c r="X41" s="223">
        <v>47</v>
      </c>
      <c r="Y41" s="256" t="s">
        <v>284</v>
      </c>
      <c r="Z41" s="223">
        <v>10</v>
      </c>
      <c r="AA41" s="89">
        <v>12</v>
      </c>
      <c r="AB41" s="256" t="s">
        <v>284</v>
      </c>
      <c r="AC41" s="256">
        <v>5</v>
      </c>
      <c r="AD41" s="256" t="s">
        <v>284</v>
      </c>
      <c r="AE41" s="225">
        <v>4</v>
      </c>
      <c r="AF41" s="89">
        <v>227</v>
      </c>
      <c r="AG41" s="89">
        <v>49</v>
      </c>
      <c r="AH41" s="89">
        <v>10</v>
      </c>
      <c r="AI41" s="89">
        <f t="shared" si="5"/>
        <v>39</v>
      </c>
      <c r="AJ41" s="89">
        <v>13</v>
      </c>
      <c r="AK41" s="90" t="s">
        <v>284</v>
      </c>
      <c r="AL41" s="90">
        <v>4</v>
      </c>
    </row>
    <row r="42" spans="2:38" ht="15" customHeight="1">
      <c r="B42" s="137" t="s">
        <v>360</v>
      </c>
      <c r="C42" s="89">
        <v>433</v>
      </c>
      <c r="D42" s="225" t="s">
        <v>284</v>
      </c>
      <c r="E42" s="225">
        <v>6</v>
      </c>
      <c r="F42" s="89">
        <v>1</v>
      </c>
      <c r="G42" s="225">
        <v>81</v>
      </c>
      <c r="H42" s="89">
        <v>25</v>
      </c>
      <c r="I42" s="89">
        <v>21</v>
      </c>
      <c r="J42" s="225">
        <v>5</v>
      </c>
      <c r="K42" s="89">
        <v>10</v>
      </c>
      <c r="L42" s="89">
        <v>3</v>
      </c>
      <c r="M42" s="89">
        <v>7</v>
      </c>
      <c r="N42" s="89">
        <v>9</v>
      </c>
      <c r="O42" s="223">
        <v>12</v>
      </c>
      <c r="P42" s="90" t="s">
        <v>284</v>
      </c>
      <c r="Q42" s="49">
        <f t="shared" si="4"/>
        <v>166</v>
      </c>
      <c r="R42" s="223">
        <v>136</v>
      </c>
      <c r="S42" s="223">
        <v>2</v>
      </c>
      <c r="T42" s="223">
        <v>24</v>
      </c>
      <c r="U42" s="256">
        <v>1</v>
      </c>
      <c r="V42" s="49">
        <v>3</v>
      </c>
      <c r="W42" s="223">
        <v>8</v>
      </c>
      <c r="X42" s="223">
        <v>28</v>
      </c>
      <c r="Y42" s="256">
        <v>1</v>
      </c>
      <c r="Z42" s="223">
        <v>6</v>
      </c>
      <c r="AA42" s="89">
        <v>7</v>
      </c>
      <c r="AB42" s="256">
        <v>2</v>
      </c>
      <c r="AC42" s="256">
        <v>2</v>
      </c>
      <c r="AD42" s="256">
        <v>2</v>
      </c>
      <c r="AE42" s="256" t="s">
        <v>284</v>
      </c>
      <c r="AF42" s="89">
        <v>93</v>
      </c>
      <c r="AG42" s="89">
        <v>14</v>
      </c>
      <c r="AH42" s="89">
        <v>4</v>
      </c>
      <c r="AI42" s="89">
        <f t="shared" si="5"/>
        <v>10</v>
      </c>
      <c r="AJ42" s="89">
        <v>4</v>
      </c>
      <c r="AK42" s="90" t="s">
        <v>284</v>
      </c>
      <c r="AL42" s="90" t="s">
        <v>284</v>
      </c>
    </row>
    <row r="43" spans="2:38" ht="15" customHeight="1">
      <c r="B43" s="137" t="s">
        <v>361</v>
      </c>
      <c r="C43" s="89">
        <v>457</v>
      </c>
      <c r="D43" s="225" t="s">
        <v>284</v>
      </c>
      <c r="E43" s="225">
        <v>6</v>
      </c>
      <c r="F43" s="89">
        <v>4</v>
      </c>
      <c r="G43" s="225">
        <v>117</v>
      </c>
      <c r="H43" s="89">
        <v>26</v>
      </c>
      <c r="I43" s="89">
        <v>35</v>
      </c>
      <c r="J43" s="225">
        <v>13</v>
      </c>
      <c r="K43" s="89">
        <v>11</v>
      </c>
      <c r="L43" s="89">
        <v>4</v>
      </c>
      <c r="M43" s="89">
        <v>5</v>
      </c>
      <c r="N43" s="89">
        <v>20</v>
      </c>
      <c r="O43" s="223">
        <v>4</v>
      </c>
      <c r="P43" s="90">
        <v>1</v>
      </c>
      <c r="Q43" s="49">
        <f t="shared" si="4"/>
        <v>159</v>
      </c>
      <c r="R43" s="223">
        <v>120</v>
      </c>
      <c r="S43" s="223">
        <v>8</v>
      </c>
      <c r="T43" s="223">
        <v>27</v>
      </c>
      <c r="U43" s="256">
        <v>1</v>
      </c>
      <c r="V43" s="49">
        <v>3</v>
      </c>
      <c r="W43" s="223">
        <v>16</v>
      </c>
      <c r="X43" s="223">
        <v>38</v>
      </c>
      <c r="Y43" s="256" t="s">
        <v>284</v>
      </c>
      <c r="Z43" s="223">
        <v>7</v>
      </c>
      <c r="AA43" s="89">
        <v>10</v>
      </c>
      <c r="AB43" s="256" t="s">
        <v>284</v>
      </c>
      <c r="AC43" s="256">
        <v>2</v>
      </c>
      <c r="AD43" s="256">
        <v>2</v>
      </c>
      <c r="AE43" s="225">
        <v>1</v>
      </c>
      <c r="AF43" s="89">
        <v>64</v>
      </c>
      <c r="AG43" s="89">
        <v>21</v>
      </c>
      <c r="AH43" s="89">
        <v>6</v>
      </c>
      <c r="AI43" s="89">
        <f t="shared" si="5"/>
        <v>15</v>
      </c>
      <c r="AJ43" s="89">
        <v>4</v>
      </c>
      <c r="AK43" s="90" t="s">
        <v>284</v>
      </c>
      <c r="AL43" s="90">
        <v>1</v>
      </c>
    </row>
    <row r="44" spans="2:38" ht="12.75" customHeight="1">
      <c r="B44" s="137"/>
      <c r="C44" s="38"/>
      <c r="D44" s="223"/>
      <c r="E44" s="223"/>
      <c r="F44" s="49"/>
      <c r="G44" s="223"/>
      <c r="H44" s="49"/>
      <c r="I44" s="49"/>
      <c r="J44" s="223"/>
      <c r="K44" s="49"/>
      <c r="L44" s="49"/>
      <c r="M44" s="49"/>
      <c r="N44" s="49"/>
      <c r="O44" s="223"/>
      <c r="P44" s="90"/>
      <c r="Q44" s="49"/>
      <c r="R44" s="223"/>
      <c r="S44" s="223"/>
      <c r="T44" s="223"/>
      <c r="U44" s="223"/>
      <c r="V44" s="49"/>
      <c r="W44" s="223"/>
      <c r="X44" s="223"/>
      <c r="Y44" s="223"/>
      <c r="Z44" s="223"/>
      <c r="AA44" s="89"/>
      <c r="AB44" s="225"/>
      <c r="AC44" s="225"/>
      <c r="AD44" s="256"/>
      <c r="AE44" s="225"/>
      <c r="AF44" s="89"/>
      <c r="AG44" s="89"/>
      <c r="AH44" s="89"/>
      <c r="AI44" s="89"/>
      <c r="AJ44" s="89"/>
      <c r="AK44" s="89"/>
      <c r="AL44" s="90"/>
    </row>
    <row r="45" spans="2:38" ht="15" customHeight="1">
      <c r="B45" s="137" t="s">
        <v>362</v>
      </c>
      <c r="C45" s="89">
        <v>361</v>
      </c>
      <c r="D45" s="225" t="s">
        <v>284</v>
      </c>
      <c r="E45" s="225">
        <v>1</v>
      </c>
      <c r="F45" s="89">
        <v>7</v>
      </c>
      <c r="G45" s="225">
        <v>69</v>
      </c>
      <c r="H45" s="89">
        <v>14</v>
      </c>
      <c r="I45" s="89">
        <v>25</v>
      </c>
      <c r="J45" s="225">
        <v>3</v>
      </c>
      <c r="K45" s="89">
        <v>4</v>
      </c>
      <c r="L45" s="89">
        <v>6</v>
      </c>
      <c r="M45" s="89">
        <v>2</v>
      </c>
      <c r="N45" s="89">
        <v>13</v>
      </c>
      <c r="O45" s="223">
        <v>12</v>
      </c>
      <c r="P45" s="90" t="s">
        <v>284</v>
      </c>
      <c r="Q45" s="49">
        <f t="shared" si="4"/>
        <v>128</v>
      </c>
      <c r="R45" s="223">
        <v>102</v>
      </c>
      <c r="S45" s="256">
        <v>7</v>
      </c>
      <c r="T45" s="223">
        <v>15</v>
      </c>
      <c r="U45" s="223">
        <v>1</v>
      </c>
      <c r="V45" s="49">
        <v>3</v>
      </c>
      <c r="W45" s="223">
        <v>5</v>
      </c>
      <c r="X45" s="223">
        <v>20</v>
      </c>
      <c r="Y45" s="223">
        <v>1</v>
      </c>
      <c r="Z45" s="223">
        <v>4</v>
      </c>
      <c r="AA45" s="89">
        <v>3</v>
      </c>
      <c r="AB45" s="256" t="s">
        <v>284</v>
      </c>
      <c r="AC45" s="225">
        <v>1</v>
      </c>
      <c r="AD45" s="256">
        <v>2</v>
      </c>
      <c r="AE45" s="256" t="s">
        <v>284</v>
      </c>
      <c r="AF45" s="89">
        <v>79</v>
      </c>
      <c r="AG45" s="89">
        <v>24</v>
      </c>
      <c r="AH45" s="89">
        <v>6</v>
      </c>
      <c r="AI45" s="89">
        <f t="shared" si="5"/>
        <v>18</v>
      </c>
      <c r="AJ45" s="89">
        <v>3</v>
      </c>
      <c r="AK45" s="90">
        <v>2</v>
      </c>
      <c r="AL45" s="90" t="s">
        <v>284</v>
      </c>
    </row>
    <row r="46" spans="2:38" ht="15" customHeight="1">
      <c r="B46" s="137" t="s">
        <v>363</v>
      </c>
      <c r="C46" s="89">
        <v>418</v>
      </c>
      <c r="D46" s="225" t="s">
        <v>284</v>
      </c>
      <c r="E46" s="225">
        <v>5</v>
      </c>
      <c r="F46" s="89">
        <v>2</v>
      </c>
      <c r="G46" s="225">
        <v>91</v>
      </c>
      <c r="H46" s="89">
        <v>17</v>
      </c>
      <c r="I46" s="89">
        <v>20</v>
      </c>
      <c r="J46" s="225">
        <v>7</v>
      </c>
      <c r="K46" s="89">
        <v>13</v>
      </c>
      <c r="L46" s="89">
        <v>6</v>
      </c>
      <c r="M46" s="89">
        <v>2</v>
      </c>
      <c r="N46" s="89">
        <v>22</v>
      </c>
      <c r="O46" s="223">
        <v>12</v>
      </c>
      <c r="P46" s="90">
        <v>2</v>
      </c>
      <c r="Q46" s="49">
        <f t="shared" si="4"/>
        <v>152</v>
      </c>
      <c r="R46" s="223">
        <v>108</v>
      </c>
      <c r="S46" s="223">
        <v>3</v>
      </c>
      <c r="T46" s="223">
        <v>26</v>
      </c>
      <c r="U46" s="223">
        <v>12</v>
      </c>
      <c r="V46" s="49">
        <v>3</v>
      </c>
      <c r="W46" s="223">
        <v>13</v>
      </c>
      <c r="X46" s="223">
        <v>27</v>
      </c>
      <c r="Y46" s="256" t="s">
        <v>284</v>
      </c>
      <c r="Z46" s="223">
        <v>3</v>
      </c>
      <c r="AA46" s="89">
        <v>7</v>
      </c>
      <c r="AB46" s="256" t="s">
        <v>284</v>
      </c>
      <c r="AC46" s="256">
        <v>2</v>
      </c>
      <c r="AD46" s="256" t="s">
        <v>284</v>
      </c>
      <c r="AE46" s="256" t="s">
        <v>284</v>
      </c>
      <c r="AF46" s="89">
        <v>82</v>
      </c>
      <c r="AG46" s="89">
        <v>15</v>
      </c>
      <c r="AH46" s="89">
        <v>8</v>
      </c>
      <c r="AI46" s="89">
        <f t="shared" si="5"/>
        <v>7</v>
      </c>
      <c r="AJ46" s="89">
        <v>4</v>
      </c>
      <c r="AK46" s="90" t="s">
        <v>284</v>
      </c>
      <c r="AL46" s="90">
        <v>1</v>
      </c>
    </row>
    <row r="47" spans="2:38" ht="15" customHeight="1">
      <c r="B47" s="137" t="s">
        <v>364</v>
      </c>
      <c r="C47" s="89">
        <v>2133</v>
      </c>
      <c r="D47" s="225">
        <v>2</v>
      </c>
      <c r="E47" s="225">
        <v>21</v>
      </c>
      <c r="F47" s="89">
        <v>29</v>
      </c>
      <c r="G47" s="225">
        <v>443</v>
      </c>
      <c r="H47" s="89">
        <v>127</v>
      </c>
      <c r="I47" s="89">
        <v>107</v>
      </c>
      <c r="J47" s="225">
        <v>31</v>
      </c>
      <c r="K47" s="89">
        <v>42</v>
      </c>
      <c r="L47" s="89">
        <v>28</v>
      </c>
      <c r="M47" s="89">
        <v>18</v>
      </c>
      <c r="N47" s="89">
        <v>82</v>
      </c>
      <c r="O47" s="223">
        <v>68</v>
      </c>
      <c r="P47" s="90">
        <v>3</v>
      </c>
      <c r="Q47" s="49">
        <f t="shared" si="4"/>
        <v>658</v>
      </c>
      <c r="R47" s="223">
        <v>537</v>
      </c>
      <c r="S47" s="223">
        <v>18</v>
      </c>
      <c r="T47" s="223">
        <v>87</v>
      </c>
      <c r="U47" s="223">
        <v>5</v>
      </c>
      <c r="V47" s="49">
        <v>11</v>
      </c>
      <c r="W47" s="223">
        <v>33</v>
      </c>
      <c r="X47" s="223">
        <v>117</v>
      </c>
      <c r="Y47" s="223">
        <v>3</v>
      </c>
      <c r="Z47" s="223">
        <v>27</v>
      </c>
      <c r="AA47" s="89">
        <v>35</v>
      </c>
      <c r="AB47" s="256" t="s">
        <v>284</v>
      </c>
      <c r="AC47" s="225">
        <v>11</v>
      </c>
      <c r="AD47" s="256">
        <v>14</v>
      </c>
      <c r="AE47" s="225">
        <v>18</v>
      </c>
      <c r="AF47" s="89">
        <v>480</v>
      </c>
      <c r="AG47" s="89">
        <v>122</v>
      </c>
      <c r="AH47" s="89">
        <v>18</v>
      </c>
      <c r="AI47" s="89">
        <f t="shared" si="5"/>
        <v>104</v>
      </c>
      <c r="AJ47" s="89">
        <v>32</v>
      </c>
      <c r="AK47" s="89">
        <v>13</v>
      </c>
      <c r="AL47" s="90">
        <v>4</v>
      </c>
    </row>
    <row r="48" spans="2:38" ht="15" customHeight="1">
      <c r="B48" s="137" t="s">
        <v>365</v>
      </c>
      <c r="C48" s="89">
        <v>520</v>
      </c>
      <c r="D48" s="225" t="s">
        <v>284</v>
      </c>
      <c r="E48" s="225">
        <v>8</v>
      </c>
      <c r="F48" s="89">
        <v>5</v>
      </c>
      <c r="G48" s="225">
        <v>118</v>
      </c>
      <c r="H48" s="89">
        <v>30</v>
      </c>
      <c r="I48" s="89">
        <v>33</v>
      </c>
      <c r="J48" s="225">
        <v>10</v>
      </c>
      <c r="K48" s="89">
        <v>12</v>
      </c>
      <c r="L48" s="89">
        <v>5</v>
      </c>
      <c r="M48" s="90" t="s">
        <v>284</v>
      </c>
      <c r="N48" s="89">
        <v>24</v>
      </c>
      <c r="O48" s="223">
        <v>14</v>
      </c>
      <c r="P48" s="90" t="s">
        <v>284</v>
      </c>
      <c r="Q48" s="49">
        <f t="shared" si="4"/>
        <v>187</v>
      </c>
      <c r="R48" s="223">
        <v>155</v>
      </c>
      <c r="S48" s="223">
        <v>5</v>
      </c>
      <c r="T48" s="223">
        <v>24</v>
      </c>
      <c r="U48" s="256">
        <v>1</v>
      </c>
      <c r="V48" s="49">
        <v>2</v>
      </c>
      <c r="W48" s="223">
        <v>4</v>
      </c>
      <c r="X48" s="223">
        <v>36</v>
      </c>
      <c r="Y48" s="223">
        <v>3</v>
      </c>
      <c r="Z48" s="223">
        <v>6</v>
      </c>
      <c r="AA48" s="89">
        <v>5</v>
      </c>
      <c r="AB48" s="256" t="s">
        <v>284</v>
      </c>
      <c r="AC48" s="225">
        <v>3</v>
      </c>
      <c r="AD48" s="256">
        <v>2</v>
      </c>
      <c r="AE48" s="225">
        <v>10</v>
      </c>
      <c r="AF48" s="89">
        <v>79</v>
      </c>
      <c r="AG48" s="89">
        <v>27</v>
      </c>
      <c r="AH48" s="89">
        <v>7</v>
      </c>
      <c r="AI48" s="89">
        <f t="shared" si="5"/>
        <v>20</v>
      </c>
      <c r="AJ48" s="89">
        <v>9</v>
      </c>
      <c r="AK48" s="89">
        <v>4</v>
      </c>
      <c r="AL48" s="90" t="s">
        <v>284</v>
      </c>
    </row>
    <row r="49" spans="2:38" ht="15" customHeight="1">
      <c r="B49" s="137" t="s">
        <v>366</v>
      </c>
      <c r="C49" s="89">
        <v>454</v>
      </c>
      <c r="D49" s="225" t="s">
        <v>284</v>
      </c>
      <c r="E49" s="225">
        <v>4</v>
      </c>
      <c r="F49" s="89">
        <v>1</v>
      </c>
      <c r="G49" s="225">
        <v>104</v>
      </c>
      <c r="H49" s="89">
        <v>31</v>
      </c>
      <c r="I49" s="89">
        <v>29</v>
      </c>
      <c r="J49" s="225">
        <v>7</v>
      </c>
      <c r="K49" s="89">
        <v>4</v>
      </c>
      <c r="L49" s="89">
        <v>3</v>
      </c>
      <c r="M49" s="89">
        <v>8</v>
      </c>
      <c r="N49" s="89">
        <v>20</v>
      </c>
      <c r="O49" s="223">
        <v>10</v>
      </c>
      <c r="P49" s="90" t="s">
        <v>284</v>
      </c>
      <c r="Q49" s="49">
        <f t="shared" si="4"/>
        <v>153</v>
      </c>
      <c r="R49" s="223">
        <v>124</v>
      </c>
      <c r="S49" s="223">
        <v>5</v>
      </c>
      <c r="T49" s="223">
        <v>20</v>
      </c>
      <c r="U49" s="256" t="s">
        <v>284</v>
      </c>
      <c r="V49" s="49">
        <v>4</v>
      </c>
      <c r="W49" s="223">
        <v>15</v>
      </c>
      <c r="X49" s="223">
        <v>39</v>
      </c>
      <c r="Y49" s="256">
        <v>1</v>
      </c>
      <c r="Z49" s="223">
        <v>7</v>
      </c>
      <c r="AA49" s="89">
        <v>6</v>
      </c>
      <c r="AB49" s="256" t="s">
        <v>284</v>
      </c>
      <c r="AC49" s="225">
        <v>3</v>
      </c>
      <c r="AD49" s="256" t="s">
        <v>284</v>
      </c>
      <c r="AE49" s="225">
        <v>6</v>
      </c>
      <c r="AF49" s="89">
        <v>74</v>
      </c>
      <c r="AG49" s="89">
        <v>17</v>
      </c>
      <c r="AH49" s="89">
        <v>5</v>
      </c>
      <c r="AI49" s="89">
        <f t="shared" si="5"/>
        <v>12</v>
      </c>
      <c r="AJ49" s="90">
        <v>8</v>
      </c>
      <c r="AK49" s="90">
        <v>2</v>
      </c>
      <c r="AL49" s="90">
        <v>4</v>
      </c>
    </row>
    <row r="50" spans="2:38" ht="12.75" customHeight="1">
      <c r="B50" s="137"/>
      <c r="C50" s="38"/>
      <c r="D50" s="223"/>
      <c r="E50" s="223"/>
      <c r="F50" s="49"/>
      <c r="G50" s="223"/>
      <c r="H50" s="49"/>
      <c r="I50" s="49"/>
      <c r="J50" s="223"/>
      <c r="K50" s="49"/>
      <c r="L50" s="49"/>
      <c r="M50" s="49"/>
      <c r="N50" s="49"/>
      <c r="O50" s="223"/>
      <c r="P50" s="90"/>
      <c r="Q50" s="49"/>
      <c r="R50" s="223"/>
      <c r="S50" s="223"/>
      <c r="T50" s="223"/>
      <c r="U50" s="223"/>
      <c r="V50" s="49"/>
      <c r="W50" s="223"/>
      <c r="X50" s="223"/>
      <c r="Y50" s="223"/>
      <c r="Z50" s="223"/>
      <c r="AA50" s="89"/>
      <c r="AB50" s="225"/>
      <c r="AC50" s="225"/>
      <c r="AD50" s="225"/>
      <c r="AE50" s="225"/>
      <c r="AF50" s="89"/>
      <c r="AG50" s="89"/>
      <c r="AH50" s="89"/>
      <c r="AI50" s="89"/>
      <c r="AJ50" s="89"/>
      <c r="AK50" s="89"/>
      <c r="AL50" s="89"/>
    </row>
    <row r="51" spans="2:38" ht="15" customHeight="1">
      <c r="B51" s="137" t="s">
        <v>367</v>
      </c>
      <c r="C51" s="89">
        <v>189</v>
      </c>
      <c r="D51" s="225" t="s">
        <v>284</v>
      </c>
      <c r="E51" s="225">
        <v>5</v>
      </c>
      <c r="F51" s="225" t="s">
        <v>284</v>
      </c>
      <c r="G51" s="225">
        <v>38</v>
      </c>
      <c r="H51" s="89">
        <v>11</v>
      </c>
      <c r="I51" s="89">
        <v>10</v>
      </c>
      <c r="J51" s="225">
        <v>1</v>
      </c>
      <c r="K51" s="89">
        <v>7</v>
      </c>
      <c r="L51" s="89">
        <v>4</v>
      </c>
      <c r="M51" s="89">
        <v>2</v>
      </c>
      <c r="N51" s="89">
        <v>2</v>
      </c>
      <c r="O51" s="223">
        <v>9</v>
      </c>
      <c r="P51" s="90">
        <v>1</v>
      </c>
      <c r="Q51" s="49">
        <f t="shared" si="4"/>
        <v>68</v>
      </c>
      <c r="R51" s="223">
        <v>54</v>
      </c>
      <c r="S51" s="256">
        <v>1</v>
      </c>
      <c r="T51" s="223">
        <v>13</v>
      </c>
      <c r="U51" s="256" t="s">
        <v>284</v>
      </c>
      <c r="V51" s="256" t="s">
        <v>284</v>
      </c>
      <c r="W51" s="223">
        <v>5</v>
      </c>
      <c r="X51" s="223">
        <v>12</v>
      </c>
      <c r="Y51" s="256" t="s">
        <v>284</v>
      </c>
      <c r="Z51" s="223">
        <v>3</v>
      </c>
      <c r="AA51" s="89">
        <v>2</v>
      </c>
      <c r="AB51" s="256" t="s">
        <v>284</v>
      </c>
      <c r="AC51" s="256">
        <v>2</v>
      </c>
      <c r="AD51" s="256" t="s">
        <v>284</v>
      </c>
      <c r="AE51" s="256">
        <v>3</v>
      </c>
      <c r="AF51" s="89">
        <v>32</v>
      </c>
      <c r="AG51" s="89">
        <v>7</v>
      </c>
      <c r="AH51" s="89">
        <v>1</v>
      </c>
      <c r="AI51" s="89">
        <f t="shared" si="5"/>
        <v>6</v>
      </c>
      <c r="AJ51" s="89">
        <v>2</v>
      </c>
      <c r="AK51" s="90" t="s">
        <v>284</v>
      </c>
      <c r="AL51" s="90" t="s">
        <v>284</v>
      </c>
    </row>
    <row r="52" spans="2:38" ht="15" customHeight="1">
      <c r="B52" s="137" t="s">
        <v>368</v>
      </c>
      <c r="C52" s="89">
        <v>434</v>
      </c>
      <c r="D52" s="225" t="s">
        <v>284</v>
      </c>
      <c r="E52" s="225">
        <v>6</v>
      </c>
      <c r="F52" s="89">
        <v>6</v>
      </c>
      <c r="G52" s="225">
        <v>111</v>
      </c>
      <c r="H52" s="89">
        <v>27</v>
      </c>
      <c r="I52" s="89">
        <v>36</v>
      </c>
      <c r="J52" s="225">
        <v>5</v>
      </c>
      <c r="K52" s="89">
        <v>11</v>
      </c>
      <c r="L52" s="89">
        <v>6</v>
      </c>
      <c r="M52" s="89">
        <v>7</v>
      </c>
      <c r="N52" s="89">
        <v>16</v>
      </c>
      <c r="O52" s="223">
        <v>8</v>
      </c>
      <c r="P52" s="90" t="s">
        <v>284</v>
      </c>
      <c r="Q52" s="49">
        <f t="shared" si="4"/>
        <v>166</v>
      </c>
      <c r="R52" s="223">
        <v>137</v>
      </c>
      <c r="S52" s="223">
        <v>6</v>
      </c>
      <c r="T52" s="223">
        <v>21</v>
      </c>
      <c r="U52" s="256" t="s">
        <v>284</v>
      </c>
      <c r="V52" s="49">
        <v>2</v>
      </c>
      <c r="W52" s="223">
        <v>6</v>
      </c>
      <c r="X52" s="223">
        <v>26</v>
      </c>
      <c r="Y52" s="256" t="s">
        <v>284</v>
      </c>
      <c r="Z52" s="223">
        <v>8</v>
      </c>
      <c r="AA52" s="89">
        <v>11</v>
      </c>
      <c r="AB52" s="256">
        <v>1</v>
      </c>
      <c r="AC52" s="225">
        <v>1</v>
      </c>
      <c r="AD52" s="256" t="s">
        <v>284</v>
      </c>
      <c r="AE52" s="225">
        <v>1</v>
      </c>
      <c r="AF52" s="89">
        <v>56</v>
      </c>
      <c r="AG52" s="89">
        <v>19</v>
      </c>
      <c r="AH52" s="89">
        <v>6</v>
      </c>
      <c r="AI52" s="89">
        <f t="shared" si="5"/>
        <v>13</v>
      </c>
      <c r="AJ52" s="89">
        <v>5</v>
      </c>
      <c r="AK52" s="90" t="s">
        <v>284</v>
      </c>
      <c r="AL52" s="90">
        <v>3</v>
      </c>
    </row>
    <row r="53" spans="2:38" ht="15" customHeight="1">
      <c r="B53" s="137" t="s">
        <v>369</v>
      </c>
      <c r="C53" s="89">
        <v>1664</v>
      </c>
      <c r="D53" s="225" t="s">
        <v>284</v>
      </c>
      <c r="E53" s="225">
        <v>19</v>
      </c>
      <c r="F53" s="89">
        <v>22</v>
      </c>
      <c r="G53" s="225">
        <v>393</v>
      </c>
      <c r="H53" s="89">
        <v>104</v>
      </c>
      <c r="I53" s="89">
        <v>126</v>
      </c>
      <c r="J53" s="225">
        <v>29</v>
      </c>
      <c r="K53" s="89">
        <v>35</v>
      </c>
      <c r="L53" s="89">
        <v>27</v>
      </c>
      <c r="M53" s="89">
        <v>14</v>
      </c>
      <c r="N53" s="89">
        <v>46</v>
      </c>
      <c r="O53" s="223">
        <v>53</v>
      </c>
      <c r="P53" s="90">
        <v>3</v>
      </c>
      <c r="Q53" s="49">
        <f t="shared" si="4"/>
        <v>524</v>
      </c>
      <c r="R53" s="223">
        <v>416</v>
      </c>
      <c r="S53" s="223">
        <v>26</v>
      </c>
      <c r="T53" s="223">
        <v>70</v>
      </c>
      <c r="U53" s="223">
        <v>3</v>
      </c>
      <c r="V53" s="49">
        <v>9</v>
      </c>
      <c r="W53" s="223">
        <v>43</v>
      </c>
      <c r="X53" s="223">
        <v>127</v>
      </c>
      <c r="Y53" s="256">
        <v>3</v>
      </c>
      <c r="Z53" s="223">
        <v>28</v>
      </c>
      <c r="AA53" s="89">
        <v>21</v>
      </c>
      <c r="AB53" s="256" t="s">
        <v>284</v>
      </c>
      <c r="AC53" s="225">
        <v>8</v>
      </c>
      <c r="AD53" s="256">
        <v>5</v>
      </c>
      <c r="AE53" s="225">
        <v>10</v>
      </c>
      <c r="AF53" s="89">
        <v>329</v>
      </c>
      <c r="AG53" s="89">
        <v>37</v>
      </c>
      <c r="AH53" s="89">
        <v>10</v>
      </c>
      <c r="AI53" s="89">
        <f t="shared" si="5"/>
        <v>27</v>
      </c>
      <c r="AJ53" s="89">
        <v>25</v>
      </c>
      <c r="AK53" s="89">
        <v>4</v>
      </c>
      <c r="AL53" s="90">
        <v>10</v>
      </c>
    </row>
    <row r="54" spans="2:38" ht="15" customHeight="1">
      <c r="B54" s="137" t="s">
        <v>370</v>
      </c>
      <c r="C54" s="89">
        <v>2069</v>
      </c>
      <c r="D54" s="225" t="s">
        <v>284</v>
      </c>
      <c r="E54" s="225">
        <v>19</v>
      </c>
      <c r="F54" s="89">
        <v>22</v>
      </c>
      <c r="G54" s="225">
        <v>435</v>
      </c>
      <c r="H54" s="89">
        <v>113</v>
      </c>
      <c r="I54" s="89">
        <v>121</v>
      </c>
      <c r="J54" s="225">
        <v>33</v>
      </c>
      <c r="K54" s="89">
        <v>47</v>
      </c>
      <c r="L54" s="89">
        <v>20</v>
      </c>
      <c r="M54" s="89">
        <v>18</v>
      </c>
      <c r="N54" s="89">
        <v>69</v>
      </c>
      <c r="O54" s="223">
        <v>76</v>
      </c>
      <c r="P54" s="90">
        <v>6</v>
      </c>
      <c r="Q54" s="49">
        <f t="shared" si="4"/>
        <v>588</v>
      </c>
      <c r="R54" s="223">
        <v>453</v>
      </c>
      <c r="S54" s="223">
        <v>37</v>
      </c>
      <c r="T54" s="223">
        <v>89</v>
      </c>
      <c r="U54" s="223">
        <v>1</v>
      </c>
      <c r="V54" s="49">
        <v>8</v>
      </c>
      <c r="W54" s="223">
        <v>48</v>
      </c>
      <c r="X54" s="223">
        <v>112</v>
      </c>
      <c r="Y54" s="256">
        <v>6</v>
      </c>
      <c r="Z54" s="223">
        <v>25</v>
      </c>
      <c r="AA54" s="89">
        <v>30</v>
      </c>
      <c r="AB54" s="225">
        <v>2</v>
      </c>
      <c r="AC54" s="225">
        <v>7</v>
      </c>
      <c r="AD54" s="256">
        <v>10</v>
      </c>
      <c r="AE54" s="225">
        <v>23</v>
      </c>
      <c r="AF54" s="89">
        <v>478</v>
      </c>
      <c r="AG54" s="89">
        <v>127</v>
      </c>
      <c r="AH54" s="89">
        <v>35</v>
      </c>
      <c r="AI54" s="89">
        <f t="shared" si="5"/>
        <v>92</v>
      </c>
      <c r="AJ54" s="89">
        <v>34</v>
      </c>
      <c r="AK54" s="89">
        <v>12</v>
      </c>
      <c r="AL54" s="90">
        <v>9</v>
      </c>
    </row>
    <row r="55" spans="2:38" ht="15" customHeight="1">
      <c r="B55" s="137" t="s">
        <v>371</v>
      </c>
      <c r="C55" s="89">
        <v>193</v>
      </c>
      <c r="D55" s="225" t="s">
        <v>284</v>
      </c>
      <c r="E55" s="225">
        <v>1</v>
      </c>
      <c r="F55" s="89">
        <v>2</v>
      </c>
      <c r="G55" s="225">
        <v>41</v>
      </c>
      <c r="H55" s="89">
        <v>6</v>
      </c>
      <c r="I55" s="89">
        <v>21</v>
      </c>
      <c r="J55" s="225">
        <v>2</v>
      </c>
      <c r="K55" s="89">
        <v>5</v>
      </c>
      <c r="L55" s="89">
        <v>2</v>
      </c>
      <c r="M55" s="89" t="s">
        <v>284</v>
      </c>
      <c r="N55" s="89">
        <v>5</v>
      </c>
      <c r="O55" s="223">
        <v>12</v>
      </c>
      <c r="P55" s="90" t="s">
        <v>284</v>
      </c>
      <c r="Q55" s="49">
        <f t="shared" si="4"/>
        <v>63</v>
      </c>
      <c r="R55" s="223">
        <v>53</v>
      </c>
      <c r="S55" s="256">
        <v>1</v>
      </c>
      <c r="T55" s="223">
        <v>6</v>
      </c>
      <c r="U55" s="256" t="s">
        <v>284</v>
      </c>
      <c r="V55" s="90">
        <v>3</v>
      </c>
      <c r="W55" s="223">
        <v>1</v>
      </c>
      <c r="X55" s="223">
        <v>13</v>
      </c>
      <c r="Y55" s="256" t="s">
        <v>284</v>
      </c>
      <c r="Z55" s="256" t="s">
        <v>284</v>
      </c>
      <c r="AA55" s="90">
        <v>2</v>
      </c>
      <c r="AB55" s="256" t="s">
        <v>284</v>
      </c>
      <c r="AC55" s="225">
        <v>1</v>
      </c>
      <c r="AD55" s="256">
        <v>1</v>
      </c>
      <c r="AE55" s="256">
        <v>2</v>
      </c>
      <c r="AF55" s="89">
        <v>38</v>
      </c>
      <c r="AG55" s="89">
        <v>11</v>
      </c>
      <c r="AH55" s="89">
        <v>6</v>
      </c>
      <c r="AI55" s="89">
        <f t="shared" si="5"/>
        <v>5</v>
      </c>
      <c r="AJ55" s="89">
        <v>5</v>
      </c>
      <c r="AK55" s="90" t="s">
        <v>284</v>
      </c>
      <c r="AL55" s="90" t="s">
        <v>284</v>
      </c>
    </row>
    <row r="56" spans="2:38" ht="12" customHeight="1">
      <c r="B56" s="11"/>
      <c r="C56" s="11"/>
      <c r="D56" s="234"/>
      <c r="E56" s="234"/>
      <c r="F56" s="11"/>
      <c r="G56" s="234"/>
      <c r="H56" s="11"/>
      <c r="I56" s="11"/>
      <c r="J56" s="234"/>
      <c r="K56" s="11"/>
      <c r="L56" s="11"/>
      <c r="M56" s="11"/>
      <c r="N56" s="11"/>
      <c r="O56" s="223"/>
      <c r="P56" s="90"/>
      <c r="Q56" s="49"/>
      <c r="R56" s="223"/>
      <c r="S56" s="223"/>
      <c r="T56" s="223"/>
      <c r="U56" s="223"/>
      <c r="V56" s="49"/>
      <c r="W56" s="223"/>
      <c r="X56" s="223"/>
      <c r="Y56" s="256"/>
      <c r="Z56" s="223"/>
      <c r="AA56" s="89"/>
      <c r="AB56" s="256"/>
      <c r="AC56" s="225"/>
      <c r="AD56" s="256"/>
      <c r="AE56" s="225"/>
      <c r="AF56" s="89"/>
      <c r="AG56" s="89"/>
      <c r="AH56" s="89"/>
      <c r="AI56" s="89"/>
      <c r="AJ56" s="89"/>
      <c r="AK56" s="89"/>
      <c r="AL56" s="90"/>
    </row>
    <row r="57" spans="2:38" ht="15" customHeight="1">
      <c r="B57" s="137" t="s">
        <v>372</v>
      </c>
      <c r="C57" s="89">
        <v>4460</v>
      </c>
      <c r="D57" s="225" t="s">
        <v>284</v>
      </c>
      <c r="E57" s="225">
        <v>34</v>
      </c>
      <c r="F57" s="89">
        <v>41</v>
      </c>
      <c r="G57" s="225">
        <v>988</v>
      </c>
      <c r="H57" s="89">
        <v>273</v>
      </c>
      <c r="I57" s="89">
        <v>242</v>
      </c>
      <c r="J57" s="225">
        <v>92</v>
      </c>
      <c r="K57" s="89">
        <v>88</v>
      </c>
      <c r="L57" s="89">
        <v>50</v>
      </c>
      <c r="M57" s="89">
        <v>32</v>
      </c>
      <c r="N57" s="89">
        <v>186</v>
      </c>
      <c r="O57" s="223">
        <v>86</v>
      </c>
      <c r="P57" s="90">
        <v>5</v>
      </c>
      <c r="Q57" s="49">
        <f t="shared" si="4"/>
        <v>1368</v>
      </c>
      <c r="R57" s="223">
        <v>1081</v>
      </c>
      <c r="S57" s="223">
        <v>36</v>
      </c>
      <c r="T57" s="223">
        <v>205</v>
      </c>
      <c r="U57" s="223">
        <v>6</v>
      </c>
      <c r="V57" s="49">
        <v>40</v>
      </c>
      <c r="W57" s="223">
        <v>112</v>
      </c>
      <c r="X57" s="223">
        <v>208</v>
      </c>
      <c r="Y57" s="256">
        <v>9</v>
      </c>
      <c r="Z57" s="223">
        <v>65</v>
      </c>
      <c r="AA57" s="89">
        <v>67</v>
      </c>
      <c r="AB57" s="256" t="s">
        <v>284</v>
      </c>
      <c r="AC57" s="225">
        <v>23</v>
      </c>
      <c r="AD57" s="256">
        <v>20</v>
      </c>
      <c r="AE57" s="225">
        <v>49</v>
      </c>
      <c r="AF57" s="89">
        <v>1010</v>
      </c>
      <c r="AG57" s="89">
        <v>269</v>
      </c>
      <c r="AH57" s="89">
        <v>55</v>
      </c>
      <c r="AI57" s="89">
        <f t="shared" si="5"/>
        <v>214</v>
      </c>
      <c r="AJ57" s="89">
        <v>69</v>
      </c>
      <c r="AK57" s="89">
        <v>23</v>
      </c>
      <c r="AL57" s="90">
        <v>14</v>
      </c>
    </row>
    <row r="58" spans="2:38" ht="15" customHeight="1">
      <c r="B58" s="137" t="s">
        <v>373</v>
      </c>
      <c r="C58" s="89">
        <v>22</v>
      </c>
      <c r="D58" s="225" t="s">
        <v>284</v>
      </c>
      <c r="E58" s="225">
        <v>1</v>
      </c>
      <c r="F58" s="89" t="s">
        <v>284</v>
      </c>
      <c r="G58" s="225">
        <v>5</v>
      </c>
      <c r="H58" s="89">
        <v>1</v>
      </c>
      <c r="I58" s="89">
        <v>1</v>
      </c>
      <c r="J58" s="225">
        <v>1</v>
      </c>
      <c r="K58" s="89" t="s">
        <v>284</v>
      </c>
      <c r="L58" s="89">
        <v>1</v>
      </c>
      <c r="M58" s="89" t="s">
        <v>284</v>
      </c>
      <c r="N58" s="90" t="s">
        <v>284</v>
      </c>
      <c r="O58" s="225">
        <v>2</v>
      </c>
      <c r="P58" s="90" t="s">
        <v>284</v>
      </c>
      <c r="Q58" s="49">
        <f t="shared" si="4"/>
        <v>7</v>
      </c>
      <c r="R58" s="223">
        <v>7</v>
      </c>
      <c r="S58" s="256" t="s">
        <v>284</v>
      </c>
      <c r="T58" s="256" t="s">
        <v>284</v>
      </c>
      <c r="U58" s="256" t="s">
        <v>284</v>
      </c>
      <c r="V58" s="256" t="s">
        <v>284</v>
      </c>
      <c r="W58" s="256" t="s">
        <v>284</v>
      </c>
      <c r="X58" s="256" t="s">
        <v>284</v>
      </c>
      <c r="Y58" s="256" t="s">
        <v>284</v>
      </c>
      <c r="Z58" s="256" t="s">
        <v>284</v>
      </c>
      <c r="AA58" s="90" t="s">
        <v>284</v>
      </c>
      <c r="AB58" s="256" t="s">
        <v>284</v>
      </c>
      <c r="AC58" s="256" t="s">
        <v>284</v>
      </c>
      <c r="AD58" s="256" t="s">
        <v>284</v>
      </c>
      <c r="AE58" s="256" t="s">
        <v>284</v>
      </c>
      <c r="AF58" s="89">
        <v>7</v>
      </c>
      <c r="AG58" s="90" t="s">
        <v>284</v>
      </c>
      <c r="AH58" s="90" t="s">
        <v>284</v>
      </c>
      <c r="AI58" s="90" t="s">
        <v>284</v>
      </c>
      <c r="AJ58" s="90" t="s">
        <v>284</v>
      </c>
      <c r="AK58" s="90" t="s">
        <v>284</v>
      </c>
      <c r="AL58" s="90" t="s">
        <v>284</v>
      </c>
    </row>
    <row r="59" spans="2:38" ht="15" customHeight="1">
      <c r="B59" s="137" t="s">
        <v>374</v>
      </c>
      <c r="C59" s="89">
        <v>159</v>
      </c>
      <c r="D59" s="225" t="s">
        <v>284</v>
      </c>
      <c r="E59" s="225">
        <v>3</v>
      </c>
      <c r="F59" s="89">
        <v>3</v>
      </c>
      <c r="G59" s="225">
        <v>44</v>
      </c>
      <c r="H59" s="89">
        <v>14</v>
      </c>
      <c r="I59" s="89">
        <v>14</v>
      </c>
      <c r="J59" s="225">
        <v>4</v>
      </c>
      <c r="K59" s="89">
        <v>4</v>
      </c>
      <c r="L59" s="89">
        <v>2</v>
      </c>
      <c r="M59" s="89" t="s">
        <v>284</v>
      </c>
      <c r="N59" s="89">
        <v>6</v>
      </c>
      <c r="O59" s="223">
        <v>4</v>
      </c>
      <c r="P59" s="90" t="s">
        <v>284</v>
      </c>
      <c r="Q59" s="49">
        <f t="shared" si="4"/>
        <v>61</v>
      </c>
      <c r="R59" s="223">
        <v>39</v>
      </c>
      <c r="S59" s="256">
        <v>2</v>
      </c>
      <c r="T59" s="256">
        <v>17</v>
      </c>
      <c r="U59" s="256">
        <v>2</v>
      </c>
      <c r="V59" s="90">
        <v>1</v>
      </c>
      <c r="W59" s="256">
        <v>5</v>
      </c>
      <c r="X59" s="223">
        <v>9</v>
      </c>
      <c r="Y59" s="256" t="s">
        <v>284</v>
      </c>
      <c r="Z59" s="256">
        <v>1</v>
      </c>
      <c r="AA59" s="89">
        <v>2</v>
      </c>
      <c r="AB59" s="256" t="s">
        <v>284</v>
      </c>
      <c r="AC59" s="256" t="s">
        <v>284</v>
      </c>
      <c r="AD59" s="256" t="s">
        <v>284</v>
      </c>
      <c r="AE59" s="256">
        <v>1</v>
      </c>
      <c r="AF59" s="89">
        <v>15</v>
      </c>
      <c r="AG59" s="89">
        <v>7</v>
      </c>
      <c r="AH59" s="89">
        <v>2</v>
      </c>
      <c r="AI59" s="89">
        <f t="shared" si="5"/>
        <v>5</v>
      </c>
      <c r="AJ59" s="89">
        <v>2</v>
      </c>
      <c r="AK59" s="90">
        <v>2</v>
      </c>
      <c r="AL59" s="90" t="s">
        <v>284</v>
      </c>
    </row>
    <row r="60" spans="2:38" ht="15" customHeight="1">
      <c r="B60" s="137" t="s">
        <v>375</v>
      </c>
      <c r="C60" s="89">
        <v>767</v>
      </c>
      <c r="D60" s="225" t="s">
        <v>284</v>
      </c>
      <c r="E60" s="225">
        <v>7</v>
      </c>
      <c r="F60" s="89">
        <v>3</v>
      </c>
      <c r="G60" s="225">
        <v>193</v>
      </c>
      <c r="H60" s="89">
        <v>45</v>
      </c>
      <c r="I60" s="89">
        <v>55</v>
      </c>
      <c r="J60" s="225">
        <v>14</v>
      </c>
      <c r="K60" s="89">
        <v>22</v>
      </c>
      <c r="L60" s="89">
        <v>14</v>
      </c>
      <c r="M60" s="89">
        <v>7</v>
      </c>
      <c r="N60" s="89">
        <v>29</v>
      </c>
      <c r="O60" s="223">
        <v>21</v>
      </c>
      <c r="P60" s="90" t="s">
        <v>284</v>
      </c>
      <c r="Q60" s="49">
        <f t="shared" si="4"/>
        <v>261</v>
      </c>
      <c r="R60" s="223">
        <v>210</v>
      </c>
      <c r="S60" s="223">
        <v>7</v>
      </c>
      <c r="T60" s="223">
        <v>35</v>
      </c>
      <c r="U60" s="223">
        <v>3</v>
      </c>
      <c r="V60" s="90">
        <v>6</v>
      </c>
      <c r="W60" s="223">
        <v>14</v>
      </c>
      <c r="X60" s="223">
        <v>50</v>
      </c>
      <c r="Y60" s="256" t="s">
        <v>284</v>
      </c>
      <c r="Z60" s="223">
        <v>1</v>
      </c>
      <c r="AA60" s="89">
        <v>12</v>
      </c>
      <c r="AB60" s="256">
        <v>1</v>
      </c>
      <c r="AC60" s="256">
        <v>4</v>
      </c>
      <c r="AD60" s="256">
        <v>2</v>
      </c>
      <c r="AE60" s="225">
        <v>7</v>
      </c>
      <c r="AF60" s="89">
        <v>128</v>
      </c>
      <c r="AG60" s="89">
        <v>33</v>
      </c>
      <c r="AH60" s="89">
        <v>12</v>
      </c>
      <c r="AI60" s="89">
        <f t="shared" si="5"/>
        <v>21</v>
      </c>
      <c r="AJ60" s="89">
        <v>16</v>
      </c>
      <c r="AK60" s="90" t="s">
        <v>284</v>
      </c>
      <c r="AL60" s="90">
        <v>5</v>
      </c>
    </row>
    <row r="61" spans="2:38" ht="15" customHeight="1">
      <c r="B61" s="137" t="s">
        <v>376</v>
      </c>
      <c r="C61" s="89">
        <v>276</v>
      </c>
      <c r="D61" s="225" t="s">
        <v>284</v>
      </c>
      <c r="E61" s="225">
        <v>1</v>
      </c>
      <c r="F61" s="89">
        <v>3</v>
      </c>
      <c r="G61" s="225">
        <v>59</v>
      </c>
      <c r="H61" s="89">
        <v>13</v>
      </c>
      <c r="I61" s="89">
        <v>18</v>
      </c>
      <c r="J61" s="225">
        <v>2</v>
      </c>
      <c r="K61" s="89">
        <v>8</v>
      </c>
      <c r="L61" s="89">
        <v>4</v>
      </c>
      <c r="M61" s="89">
        <v>5</v>
      </c>
      <c r="N61" s="89">
        <v>7</v>
      </c>
      <c r="O61" s="223">
        <v>8</v>
      </c>
      <c r="P61" s="90" t="s">
        <v>284</v>
      </c>
      <c r="Q61" s="49">
        <f t="shared" si="4"/>
        <v>79</v>
      </c>
      <c r="R61" s="223">
        <v>62</v>
      </c>
      <c r="S61" s="256">
        <v>2</v>
      </c>
      <c r="T61" s="223">
        <v>12</v>
      </c>
      <c r="U61" s="256" t="s">
        <v>284</v>
      </c>
      <c r="V61" s="49">
        <v>3</v>
      </c>
      <c r="W61" s="223">
        <v>7</v>
      </c>
      <c r="X61" s="223">
        <v>24</v>
      </c>
      <c r="Y61" s="256">
        <v>1</v>
      </c>
      <c r="Z61" s="223">
        <v>3</v>
      </c>
      <c r="AA61" s="89">
        <v>5</v>
      </c>
      <c r="AB61" s="256" t="s">
        <v>284</v>
      </c>
      <c r="AC61" s="256" t="s">
        <v>284</v>
      </c>
      <c r="AD61" s="256" t="s">
        <v>284</v>
      </c>
      <c r="AE61" s="225">
        <v>2</v>
      </c>
      <c r="AF61" s="89">
        <v>73</v>
      </c>
      <c r="AG61" s="89">
        <v>8</v>
      </c>
      <c r="AH61" s="89">
        <v>1</v>
      </c>
      <c r="AI61" s="89">
        <f t="shared" si="5"/>
        <v>7</v>
      </c>
      <c r="AJ61" s="89">
        <v>2</v>
      </c>
      <c r="AK61" s="90" t="s">
        <v>284</v>
      </c>
      <c r="AL61" s="90">
        <v>1</v>
      </c>
    </row>
    <row r="62" spans="2:38" ht="15" customHeight="1">
      <c r="B62" s="137"/>
      <c r="C62" s="89"/>
      <c r="D62" s="225"/>
      <c r="E62" s="225"/>
      <c r="F62" s="89"/>
      <c r="G62" s="225"/>
      <c r="H62" s="89"/>
      <c r="I62" s="89"/>
      <c r="J62" s="225"/>
      <c r="K62" s="89"/>
      <c r="L62" s="89"/>
      <c r="M62" s="89"/>
      <c r="N62" s="89"/>
      <c r="O62" s="223"/>
      <c r="P62" s="90"/>
      <c r="Q62" s="49"/>
      <c r="R62" s="223"/>
      <c r="S62" s="256"/>
      <c r="T62" s="223"/>
      <c r="U62" s="256"/>
      <c r="V62" s="49"/>
      <c r="W62" s="256"/>
      <c r="X62" s="223"/>
      <c r="Y62" s="256"/>
      <c r="Z62" s="223"/>
      <c r="AA62" s="89"/>
      <c r="AB62" s="256"/>
      <c r="AC62" s="225"/>
      <c r="AD62" s="256"/>
      <c r="AE62" s="225"/>
      <c r="AF62" s="89"/>
      <c r="AG62" s="89"/>
      <c r="AH62" s="89"/>
      <c r="AI62" s="89"/>
      <c r="AJ62" s="89"/>
      <c r="AK62" s="90"/>
      <c r="AL62" s="90"/>
    </row>
    <row r="63" spans="2:38" ht="15" customHeight="1">
      <c r="B63" s="137" t="s">
        <v>377</v>
      </c>
      <c r="C63" s="89">
        <v>1004</v>
      </c>
      <c r="D63" s="225" t="s">
        <v>284</v>
      </c>
      <c r="E63" s="225">
        <v>6</v>
      </c>
      <c r="F63" s="89">
        <v>4</v>
      </c>
      <c r="G63" s="225">
        <v>221</v>
      </c>
      <c r="H63" s="89">
        <v>67</v>
      </c>
      <c r="I63" s="89">
        <v>53</v>
      </c>
      <c r="J63" s="225">
        <v>24</v>
      </c>
      <c r="K63" s="89">
        <v>26</v>
      </c>
      <c r="L63" s="89">
        <v>10</v>
      </c>
      <c r="M63" s="89">
        <v>6</v>
      </c>
      <c r="N63" s="89">
        <v>32</v>
      </c>
      <c r="O63" s="223">
        <v>34</v>
      </c>
      <c r="P63" s="90" t="s">
        <v>284</v>
      </c>
      <c r="Q63" s="49">
        <f t="shared" si="4"/>
        <v>341</v>
      </c>
      <c r="R63" s="223">
        <v>279</v>
      </c>
      <c r="S63" s="256">
        <v>12</v>
      </c>
      <c r="T63" s="223">
        <v>40</v>
      </c>
      <c r="U63" s="223">
        <v>5</v>
      </c>
      <c r="V63" s="49">
        <v>5</v>
      </c>
      <c r="W63" s="223">
        <v>26</v>
      </c>
      <c r="X63" s="223">
        <v>75</v>
      </c>
      <c r="Y63" s="223">
        <v>2</v>
      </c>
      <c r="Z63" s="223">
        <v>10</v>
      </c>
      <c r="AA63" s="89">
        <v>29</v>
      </c>
      <c r="AB63" s="256">
        <v>1</v>
      </c>
      <c r="AC63" s="225">
        <v>8</v>
      </c>
      <c r="AD63" s="256">
        <v>1</v>
      </c>
      <c r="AE63" s="225">
        <v>11</v>
      </c>
      <c r="AF63" s="89">
        <v>186</v>
      </c>
      <c r="AG63" s="89">
        <v>33</v>
      </c>
      <c r="AH63" s="89">
        <v>13</v>
      </c>
      <c r="AI63" s="89">
        <f t="shared" si="5"/>
        <v>20</v>
      </c>
      <c r="AJ63" s="89">
        <v>12</v>
      </c>
      <c r="AK63" s="89">
        <v>1</v>
      </c>
      <c r="AL63" s="90">
        <v>3</v>
      </c>
    </row>
    <row r="64" spans="2:38" ht="15" customHeight="1">
      <c r="B64" s="137" t="s">
        <v>378</v>
      </c>
      <c r="C64" s="89">
        <v>1340</v>
      </c>
      <c r="D64" s="225" t="s">
        <v>284</v>
      </c>
      <c r="E64" s="225">
        <v>21</v>
      </c>
      <c r="F64" s="89">
        <v>16</v>
      </c>
      <c r="G64" s="225">
        <v>307</v>
      </c>
      <c r="H64" s="89">
        <v>98</v>
      </c>
      <c r="I64" s="89">
        <v>76</v>
      </c>
      <c r="J64" s="225">
        <v>15</v>
      </c>
      <c r="K64" s="89">
        <v>26</v>
      </c>
      <c r="L64" s="89">
        <v>18</v>
      </c>
      <c r="M64" s="89">
        <v>16</v>
      </c>
      <c r="N64" s="89">
        <v>47</v>
      </c>
      <c r="O64" s="223">
        <v>41</v>
      </c>
      <c r="P64" s="90" t="s">
        <v>284</v>
      </c>
      <c r="Q64" s="49">
        <f t="shared" si="4"/>
        <v>443</v>
      </c>
      <c r="R64" s="223">
        <v>372</v>
      </c>
      <c r="S64" s="256">
        <v>10</v>
      </c>
      <c r="T64" s="223">
        <v>44</v>
      </c>
      <c r="U64" s="223">
        <v>4</v>
      </c>
      <c r="V64" s="49">
        <v>13</v>
      </c>
      <c r="W64" s="223">
        <v>26</v>
      </c>
      <c r="X64" s="223">
        <v>73</v>
      </c>
      <c r="Y64" s="223">
        <v>2</v>
      </c>
      <c r="Z64" s="223">
        <v>14</v>
      </c>
      <c r="AA64" s="89">
        <v>22</v>
      </c>
      <c r="AB64" s="256" t="s">
        <v>284</v>
      </c>
      <c r="AC64" s="225">
        <v>8</v>
      </c>
      <c r="AD64" s="256">
        <v>3</v>
      </c>
      <c r="AE64" s="225">
        <v>9</v>
      </c>
      <c r="AF64" s="89">
        <v>245</v>
      </c>
      <c r="AG64" s="89">
        <v>74</v>
      </c>
      <c r="AH64" s="89">
        <v>22</v>
      </c>
      <c r="AI64" s="89">
        <f t="shared" si="5"/>
        <v>52</v>
      </c>
      <c r="AJ64" s="89">
        <v>28</v>
      </c>
      <c r="AK64" s="89">
        <v>3</v>
      </c>
      <c r="AL64" s="90">
        <v>5</v>
      </c>
    </row>
    <row r="65" spans="2:38" ht="15" customHeight="1">
      <c r="B65" s="137" t="s">
        <v>379</v>
      </c>
      <c r="C65" s="89">
        <v>61</v>
      </c>
      <c r="D65" s="225" t="s">
        <v>284</v>
      </c>
      <c r="E65" s="225" t="s">
        <v>284</v>
      </c>
      <c r="F65" s="89">
        <v>2</v>
      </c>
      <c r="G65" s="225">
        <v>12</v>
      </c>
      <c r="H65" s="89">
        <v>5</v>
      </c>
      <c r="I65" s="89">
        <v>4</v>
      </c>
      <c r="J65" s="225">
        <v>1</v>
      </c>
      <c r="K65" s="89" t="s">
        <v>284</v>
      </c>
      <c r="L65" s="89" t="s">
        <v>284</v>
      </c>
      <c r="M65" s="89" t="s">
        <v>284</v>
      </c>
      <c r="N65" s="89">
        <v>2</v>
      </c>
      <c r="O65" s="223">
        <v>2</v>
      </c>
      <c r="P65" s="90">
        <v>1</v>
      </c>
      <c r="Q65" s="49">
        <f t="shared" si="4"/>
        <v>25</v>
      </c>
      <c r="R65" s="223">
        <v>18</v>
      </c>
      <c r="S65" s="256" t="s">
        <v>284</v>
      </c>
      <c r="T65" s="223">
        <v>7</v>
      </c>
      <c r="U65" s="256" t="s">
        <v>284</v>
      </c>
      <c r="V65" s="256" t="s">
        <v>284</v>
      </c>
      <c r="W65" s="223">
        <v>1</v>
      </c>
      <c r="X65" s="223">
        <v>3</v>
      </c>
      <c r="Y65" s="256" t="s">
        <v>284</v>
      </c>
      <c r="Z65" s="256">
        <v>1</v>
      </c>
      <c r="AA65" s="256" t="s">
        <v>284</v>
      </c>
      <c r="AB65" s="256" t="s">
        <v>284</v>
      </c>
      <c r="AC65" s="256" t="s">
        <v>284</v>
      </c>
      <c r="AD65" s="256" t="s">
        <v>284</v>
      </c>
      <c r="AE65" s="256">
        <v>1</v>
      </c>
      <c r="AF65" s="89">
        <v>10</v>
      </c>
      <c r="AG65" s="89">
        <v>2</v>
      </c>
      <c r="AH65" s="90" t="s">
        <v>284</v>
      </c>
      <c r="AI65" s="89">
        <v>2</v>
      </c>
      <c r="AJ65" s="89">
        <v>1</v>
      </c>
      <c r="AK65" s="90" t="s">
        <v>284</v>
      </c>
      <c r="AL65" s="90" t="s">
        <v>284</v>
      </c>
    </row>
    <row r="66" spans="2:38" ht="15" customHeight="1">
      <c r="B66" s="137" t="s">
        <v>380</v>
      </c>
      <c r="C66" s="89">
        <v>148</v>
      </c>
      <c r="D66" s="225" t="s">
        <v>284</v>
      </c>
      <c r="E66" s="225">
        <v>1</v>
      </c>
      <c r="F66" s="89">
        <v>2</v>
      </c>
      <c r="G66" s="225">
        <v>30</v>
      </c>
      <c r="H66" s="89">
        <v>9</v>
      </c>
      <c r="I66" s="89">
        <v>12</v>
      </c>
      <c r="J66" s="225">
        <v>1</v>
      </c>
      <c r="K66" s="89">
        <v>1</v>
      </c>
      <c r="L66" s="89">
        <v>3</v>
      </c>
      <c r="M66" s="89">
        <v>2</v>
      </c>
      <c r="N66" s="89">
        <v>2</v>
      </c>
      <c r="O66" s="223">
        <v>2</v>
      </c>
      <c r="P66" s="90" t="s">
        <v>284</v>
      </c>
      <c r="Q66" s="49">
        <f t="shared" si="4"/>
        <v>62</v>
      </c>
      <c r="R66" s="223">
        <v>44</v>
      </c>
      <c r="S66" s="256">
        <v>2</v>
      </c>
      <c r="T66" s="223">
        <v>13</v>
      </c>
      <c r="U66" s="256" t="s">
        <v>284</v>
      </c>
      <c r="V66" s="49">
        <v>3</v>
      </c>
      <c r="W66" s="223">
        <v>2</v>
      </c>
      <c r="X66" s="223">
        <v>4</v>
      </c>
      <c r="Y66" s="256">
        <v>1</v>
      </c>
      <c r="Z66" s="256">
        <v>5</v>
      </c>
      <c r="AA66" s="89">
        <v>2</v>
      </c>
      <c r="AB66" s="256" t="s">
        <v>284</v>
      </c>
      <c r="AC66" s="256" t="s">
        <v>284</v>
      </c>
      <c r="AD66" s="256" t="s">
        <v>284</v>
      </c>
      <c r="AE66" s="256">
        <v>5</v>
      </c>
      <c r="AF66" s="89">
        <v>24</v>
      </c>
      <c r="AG66" s="89">
        <v>2</v>
      </c>
      <c r="AH66" s="89">
        <v>1</v>
      </c>
      <c r="AI66" s="89">
        <f t="shared" si="5"/>
        <v>1</v>
      </c>
      <c r="AJ66" s="89">
        <v>5</v>
      </c>
      <c r="AK66" s="90" t="s">
        <v>284</v>
      </c>
      <c r="AL66" s="90">
        <v>1</v>
      </c>
    </row>
    <row r="67" spans="2:38" ht="15" customHeight="1">
      <c r="B67" s="137" t="s">
        <v>381</v>
      </c>
      <c r="C67" s="89">
        <v>8499</v>
      </c>
      <c r="D67" s="225">
        <v>2</v>
      </c>
      <c r="E67" s="225">
        <v>141</v>
      </c>
      <c r="F67" s="89">
        <v>78</v>
      </c>
      <c r="G67" s="225">
        <v>1783</v>
      </c>
      <c r="H67" s="89">
        <v>441</v>
      </c>
      <c r="I67" s="89">
        <v>544</v>
      </c>
      <c r="J67" s="225">
        <v>124</v>
      </c>
      <c r="K67" s="89">
        <v>175</v>
      </c>
      <c r="L67" s="89">
        <v>87</v>
      </c>
      <c r="M67" s="89">
        <v>66</v>
      </c>
      <c r="N67" s="89">
        <v>306</v>
      </c>
      <c r="O67" s="223">
        <v>276</v>
      </c>
      <c r="P67" s="90">
        <v>16</v>
      </c>
      <c r="Q67" s="49">
        <f t="shared" si="4"/>
        <v>2917</v>
      </c>
      <c r="R67" s="223">
        <v>2299</v>
      </c>
      <c r="S67" s="256">
        <v>101</v>
      </c>
      <c r="T67" s="223">
        <v>343</v>
      </c>
      <c r="U67" s="256">
        <v>124</v>
      </c>
      <c r="V67" s="49">
        <v>50</v>
      </c>
      <c r="W67" s="223">
        <v>172</v>
      </c>
      <c r="X67" s="223">
        <v>468</v>
      </c>
      <c r="Y67" s="256">
        <v>8</v>
      </c>
      <c r="Z67" s="223">
        <v>112</v>
      </c>
      <c r="AA67" s="89">
        <v>148</v>
      </c>
      <c r="AB67" s="256">
        <v>3</v>
      </c>
      <c r="AC67" s="256">
        <v>31</v>
      </c>
      <c r="AD67" s="256">
        <v>41</v>
      </c>
      <c r="AE67" s="256">
        <v>83</v>
      </c>
      <c r="AF67" s="89">
        <v>1580</v>
      </c>
      <c r="AG67" s="89">
        <v>438</v>
      </c>
      <c r="AH67" s="89">
        <v>85</v>
      </c>
      <c r="AI67" s="89">
        <f t="shared" si="5"/>
        <v>353</v>
      </c>
      <c r="AJ67" s="89">
        <v>125</v>
      </c>
      <c r="AK67" s="90">
        <v>35</v>
      </c>
      <c r="AL67" s="90">
        <v>42</v>
      </c>
    </row>
    <row r="68" spans="2:38" ht="15" customHeight="1">
      <c r="B68" s="137"/>
      <c r="C68" s="89"/>
      <c r="D68" s="225"/>
      <c r="E68" s="225"/>
      <c r="F68" s="89"/>
      <c r="G68" s="225"/>
      <c r="H68" s="89"/>
      <c r="I68" s="89"/>
      <c r="J68" s="225"/>
      <c r="K68" s="89"/>
      <c r="L68" s="89"/>
      <c r="M68" s="89"/>
      <c r="N68" s="89"/>
      <c r="O68" s="223"/>
      <c r="P68" s="90"/>
      <c r="Q68" s="49"/>
      <c r="R68" s="223"/>
      <c r="S68" s="223"/>
      <c r="T68" s="223"/>
      <c r="U68" s="223"/>
      <c r="V68" s="49"/>
      <c r="W68" s="223"/>
      <c r="X68" s="223"/>
      <c r="Y68" s="223"/>
      <c r="Z68" s="223"/>
      <c r="AA68" s="89"/>
      <c r="AB68" s="256"/>
      <c r="AC68" s="225"/>
      <c r="AD68" s="256"/>
      <c r="AE68" s="225"/>
      <c r="AF68" s="89"/>
      <c r="AG68" s="89"/>
      <c r="AH68" s="89"/>
      <c r="AI68" s="89"/>
      <c r="AJ68" s="89"/>
      <c r="AK68" s="89"/>
      <c r="AL68" s="90"/>
    </row>
    <row r="69" spans="2:38" ht="15" customHeight="1">
      <c r="B69" s="137" t="s">
        <v>382</v>
      </c>
      <c r="C69" s="89">
        <v>317</v>
      </c>
      <c r="D69" s="225" t="s">
        <v>284</v>
      </c>
      <c r="E69" s="225">
        <v>4</v>
      </c>
      <c r="F69" s="89">
        <v>1</v>
      </c>
      <c r="G69" s="225">
        <v>70</v>
      </c>
      <c r="H69" s="89">
        <v>18</v>
      </c>
      <c r="I69" s="89">
        <v>21</v>
      </c>
      <c r="J69" s="225">
        <v>4</v>
      </c>
      <c r="K69" s="89">
        <v>6</v>
      </c>
      <c r="L69" s="89">
        <v>5</v>
      </c>
      <c r="M69" s="89">
        <v>1</v>
      </c>
      <c r="N69" s="89">
        <v>11</v>
      </c>
      <c r="O69" s="223">
        <v>19</v>
      </c>
      <c r="P69" s="90">
        <v>1</v>
      </c>
      <c r="Q69" s="49">
        <f t="shared" si="4"/>
        <v>84</v>
      </c>
      <c r="R69" s="223">
        <v>65</v>
      </c>
      <c r="S69" s="223">
        <v>3</v>
      </c>
      <c r="T69" s="223">
        <v>15</v>
      </c>
      <c r="U69" s="256" t="s">
        <v>284</v>
      </c>
      <c r="V69" s="49">
        <v>1</v>
      </c>
      <c r="W69" s="223">
        <v>5</v>
      </c>
      <c r="X69" s="223">
        <v>19</v>
      </c>
      <c r="Y69" s="256" t="s">
        <v>284</v>
      </c>
      <c r="Z69" s="223">
        <v>5</v>
      </c>
      <c r="AA69" s="89">
        <v>6</v>
      </c>
      <c r="AB69" s="256">
        <v>1</v>
      </c>
      <c r="AC69" s="256">
        <v>1</v>
      </c>
      <c r="AD69" s="256" t="s">
        <v>284</v>
      </c>
      <c r="AE69" s="225">
        <v>7</v>
      </c>
      <c r="AF69" s="89">
        <v>71</v>
      </c>
      <c r="AG69" s="89">
        <v>17</v>
      </c>
      <c r="AH69" s="89">
        <v>6</v>
      </c>
      <c r="AI69" s="89">
        <f t="shared" si="5"/>
        <v>11</v>
      </c>
      <c r="AJ69" s="89">
        <v>5</v>
      </c>
      <c r="AK69" s="89">
        <v>1</v>
      </c>
      <c r="AL69" s="90" t="s">
        <v>284</v>
      </c>
    </row>
    <row r="70" spans="2:38" ht="15" customHeight="1">
      <c r="B70" s="137" t="s">
        <v>383</v>
      </c>
      <c r="C70" s="89">
        <v>644</v>
      </c>
      <c r="D70" s="225" t="s">
        <v>284</v>
      </c>
      <c r="E70" s="225">
        <v>8</v>
      </c>
      <c r="F70" s="89">
        <v>6</v>
      </c>
      <c r="G70" s="225">
        <v>125</v>
      </c>
      <c r="H70" s="89">
        <v>34</v>
      </c>
      <c r="I70" s="89">
        <v>39</v>
      </c>
      <c r="J70" s="225">
        <v>3</v>
      </c>
      <c r="K70" s="89">
        <v>9</v>
      </c>
      <c r="L70" s="89">
        <v>6</v>
      </c>
      <c r="M70" s="89">
        <v>5</v>
      </c>
      <c r="N70" s="89">
        <v>25</v>
      </c>
      <c r="O70" s="223">
        <v>23</v>
      </c>
      <c r="P70" s="90">
        <v>1</v>
      </c>
      <c r="Q70" s="49">
        <f t="shared" si="4"/>
        <v>189</v>
      </c>
      <c r="R70" s="223">
        <v>152</v>
      </c>
      <c r="S70" s="256">
        <v>2</v>
      </c>
      <c r="T70" s="223">
        <v>28</v>
      </c>
      <c r="U70" s="223">
        <v>4</v>
      </c>
      <c r="V70" s="49">
        <v>3</v>
      </c>
      <c r="W70" s="223">
        <v>10</v>
      </c>
      <c r="X70" s="223">
        <v>37</v>
      </c>
      <c r="Y70" s="256" t="s">
        <v>284</v>
      </c>
      <c r="Z70" s="223">
        <v>14</v>
      </c>
      <c r="AA70" s="89">
        <v>4</v>
      </c>
      <c r="AB70" s="256" t="s">
        <v>284</v>
      </c>
      <c r="AC70" s="256">
        <v>2</v>
      </c>
      <c r="AD70" s="256">
        <v>2</v>
      </c>
      <c r="AE70" s="225">
        <v>5</v>
      </c>
      <c r="AF70" s="89">
        <v>171</v>
      </c>
      <c r="AG70" s="89">
        <v>32</v>
      </c>
      <c r="AH70" s="89">
        <v>7</v>
      </c>
      <c r="AI70" s="89">
        <f t="shared" si="5"/>
        <v>25</v>
      </c>
      <c r="AJ70" s="89">
        <v>10</v>
      </c>
      <c r="AK70" s="89">
        <v>1</v>
      </c>
      <c r="AL70" s="90">
        <v>4</v>
      </c>
    </row>
    <row r="71" spans="2:38" ht="15" customHeight="1">
      <c r="B71" s="137" t="s">
        <v>384</v>
      </c>
      <c r="C71" s="89">
        <v>349</v>
      </c>
      <c r="D71" s="225" t="s">
        <v>284</v>
      </c>
      <c r="E71" s="225">
        <v>3</v>
      </c>
      <c r="F71" s="89">
        <v>3</v>
      </c>
      <c r="G71" s="225">
        <v>85</v>
      </c>
      <c r="H71" s="89">
        <v>24</v>
      </c>
      <c r="I71" s="89">
        <v>22</v>
      </c>
      <c r="J71" s="225">
        <v>4</v>
      </c>
      <c r="K71" s="89">
        <v>9</v>
      </c>
      <c r="L71" s="89">
        <v>5</v>
      </c>
      <c r="M71" s="89">
        <v>2</v>
      </c>
      <c r="N71" s="89">
        <v>15</v>
      </c>
      <c r="O71" s="223">
        <v>9</v>
      </c>
      <c r="P71" s="90" t="s">
        <v>284</v>
      </c>
      <c r="Q71" s="49">
        <f t="shared" si="4"/>
        <v>116</v>
      </c>
      <c r="R71" s="223">
        <v>94</v>
      </c>
      <c r="S71" s="223">
        <v>5</v>
      </c>
      <c r="T71" s="223">
        <v>17</v>
      </c>
      <c r="U71" s="256" t="s">
        <v>284</v>
      </c>
      <c r="V71" s="256" t="s">
        <v>284</v>
      </c>
      <c r="W71" s="223">
        <v>12</v>
      </c>
      <c r="X71" s="223">
        <v>23</v>
      </c>
      <c r="Y71" s="256" t="s">
        <v>284</v>
      </c>
      <c r="Z71" s="223">
        <v>3</v>
      </c>
      <c r="AA71" s="89">
        <v>5</v>
      </c>
      <c r="AB71" s="256" t="s">
        <v>284</v>
      </c>
      <c r="AC71" s="256">
        <v>2</v>
      </c>
      <c r="AD71" s="256" t="s">
        <v>284</v>
      </c>
      <c r="AE71" s="225">
        <v>2</v>
      </c>
      <c r="AF71" s="89">
        <v>63</v>
      </c>
      <c r="AG71" s="89">
        <v>16</v>
      </c>
      <c r="AH71" s="89">
        <v>6</v>
      </c>
      <c r="AI71" s="89">
        <f t="shared" si="5"/>
        <v>10</v>
      </c>
      <c r="AJ71" s="89">
        <v>6</v>
      </c>
      <c r="AK71" s="89">
        <v>1</v>
      </c>
      <c r="AL71" s="90" t="s">
        <v>284</v>
      </c>
    </row>
    <row r="72" spans="2:38" ht="15" customHeight="1">
      <c r="B72" s="137" t="s">
        <v>385</v>
      </c>
      <c r="C72" s="89">
        <v>405</v>
      </c>
      <c r="D72" s="225" t="s">
        <v>284</v>
      </c>
      <c r="E72" s="225">
        <v>3</v>
      </c>
      <c r="F72" s="89">
        <v>2</v>
      </c>
      <c r="G72" s="225">
        <v>99</v>
      </c>
      <c r="H72" s="89">
        <v>23</v>
      </c>
      <c r="I72" s="89">
        <v>30</v>
      </c>
      <c r="J72" s="225">
        <v>8</v>
      </c>
      <c r="K72" s="89">
        <v>8</v>
      </c>
      <c r="L72" s="89">
        <v>4</v>
      </c>
      <c r="M72" s="89">
        <v>4</v>
      </c>
      <c r="N72" s="89">
        <v>20</v>
      </c>
      <c r="O72" s="223">
        <v>8</v>
      </c>
      <c r="P72" s="90">
        <v>1</v>
      </c>
      <c r="Q72" s="49">
        <f t="shared" si="4"/>
        <v>166</v>
      </c>
      <c r="R72" s="223">
        <v>141</v>
      </c>
      <c r="S72" s="256" t="s">
        <v>284</v>
      </c>
      <c r="T72" s="223">
        <v>21</v>
      </c>
      <c r="U72" s="256" t="s">
        <v>284</v>
      </c>
      <c r="V72" s="49">
        <v>4</v>
      </c>
      <c r="W72" s="223">
        <v>9</v>
      </c>
      <c r="X72" s="223">
        <v>22</v>
      </c>
      <c r="Y72" s="256" t="s">
        <v>284</v>
      </c>
      <c r="Z72" s="223">
        <v>4</v>
      </c>
      <c r="AA72" s="89">
        <v>4</v>
      </c>
      <c r="AB72" s="256" t="s">
        <v>284</v>
      </c>
      <c r="AC72" s="256">
        <v>2</v>
      </c>
      <c r="AD72" s="256">
        <v>1</v>
      </c>
      <c r="AE72" s="225">
        <v>4</v>
      </c>
      <c r="AF72" s="89">
        <v>52</v>
      </c>
      <c r="AG72" s="89">
        <v>20</v>
      </c>
      <c r="AH72" s="89">
        <v>7</v>
      </c>
      <c r="AI72" s="89">
        <f t="shared" si="5"/>
        <v>13</v>
      </c>
      <c r="AJ72" s="90">
        <v>7</v>
      </c>
      <c r="AK72" s="90">
        <v>1</v>
      </c>
      <c r="AL72" s="90" t="s">
        <v>284</v>
      </c>
    </row>
    <row r="73" spans="2:38" ht="15" customHeight="1">
      <c r="B73" s="137" t="s">
        <v>386</v>
      </c>
      <c r="C73" s="89">
        <v>273</v>
      </c>
      <c r="D73" s="225" t="s">
        <v>284</v>
      </c>
      <c r="E73" s="225">
        <v>3</v>
      </c>
      <c r="F73" s="89">
        <v>2</v>
      </c>
      <c r="G73" s="225">
        <v>58</v>
      </c>
      <c r="H73" s="89">
        <v>17</v>
      </c>
      <c r="I73" s="89">
        <v>20</v>
      </c>
      <c r="J73" s="225">
        <v>2</v>
      </c>
      <c r="K73" s="89">
        <v>5</v>
      </c>
      <c r="L73" s="89">
        <v>6</v>
      </c>
      <c r="M73" s="89" t="s">
        <v>284</v>
      </c>
      <c r="N73" s="89">
        <v>6</v>
      </c>
      <c r="O73" s="223">
        <v>11</v>
      </c>
      <c r="P73" s="90" t="s">
        <v>284</v>
      </c>
      <c r="Q73" s="49">
        <f t="shared" si="4"/>
        <v>94</v>
      </c>
      <c r="R73" s="223">
        <v>76</v>
      </c>
      <c r="S73" s="223">
        <v>1</v>
      </c>
      <c r="T73" s="223">
        <v>16</v>
      </c>
      <c r="U73" s="256" t="s">
        <v>284</v>
      </c>
      <c r="V73" s="49">
        <v>1</v>
      </c>
      <c r="W73" s="223">
        <v>6</v>
      </c>
      <c r="X73" s="223">
        <v>16</v>
      </c>
      <c r="Y73" s="256">
        <v>1</v>
      </c>
      <c r="Z73" s="223">
        <v>3</v>
      </c>
      <c r="AA73" s="89">
        <v>4</v>
      </c>
      <c r="AB73" s="256" t="s">
        <v>284</v>
      </c>
      <c r="AC73" s="256">
        <v>1</v>
      </c>
      <c r="AD73" s="256" t="s">
        <v>284</v>
      </c>
      <c r="AE73" s="256">
        <v>1</v>
      </c>
      <c r="AF73" s="89">
        <v>58</v>
      </c>
      <c r="AG73" s="89">
        <v>11</v>
      </c>
      <c r="AH73" s="89">
        <v>4</v>
      </c>
      <c r="AI73" s="89">
        <f t="shared" si="5"/>
        <v>7</v>
      </c>
      <c r="AJ73" s="89">
        <v>4</v>
      </c>
      <c r="AK73" s="90" t="s">
        <v>284</v>
      </c>
      <c r="AL73" s="90" t="s">
        <v>284</v>
      </c>
    </row>
    <row r="74" spans="2:38" ht="15" customHeight="1">
      <c r="B74" s="137"/>
      <c r="C74" s="89"/>
      <c r="D74" s="225"/>
      <c r="E74" s="225"/>
      <c r="F74" s="89"/>
      <c r="G74" s="225"/>
      <c r="H74" s="89"/>
      <c r="I74" s="89"/>
      <c r="J74" s="225"/>
      <c r="K74" s="89"/>
      <c r="L74" s="89"/>
      <c r="M74" s="89"/>
      <c r="N74" s="89"/>
      <c r="O74" s="223"/>
      <c r="P74" s="90"/>
      <c r="Q74" s="49"/>
      <c r="R74" s="223"/>
      <c r="S74" s="223"/>
      <c r="T74" s="223"/>
      <c r="U74" s="256"/>
      <c r="V74" s="90"/>
      <c r="W74" s="223"/>
      <c r="X74" s="223"/>
      <c r="Y74" s="256"/>
      <c r="Z74" s="223"/>
      <c r="AA74" s="89"/>
      <c r="AB74" s="256"/>
      <c r="AC74" s="256"/>
      <c r="AD74" s="256"/>
      <c r="AE74" s="256"/>
      <c r="AF74" s="89"/>
      <c r="AG74" s="89"/>
      <c r="AH74" s="89"/>
      <c r="AI74" s="89"/>
      <c r="AJ74" s="89"/>
      <c r="AK74" s="90"/>
      <c r="AL74" s="90"/>
    </row>
    <row r="75" spans="2:38" ht="15" customHeight="1">
      <c r="B75" s="137" t="s">
        <v>387</v>
      </c>
      <c r="C75" s="89">
        <v>715</v>
      </c>
      <c r="D75" s="225" t="s">
        <v>284</v>
      </c>
      <c r="E75" s="225">
        <v>17</v>
      </c>
      <c r="F75" s="89">
        <v>9</v>
      </c>
      <c r="G75" s="225">
        <v>147</v>
      </c>
      <c r="H75" s="89">
        <v>34</v>
      </c>
      <c r="I75" s="89">
        <v>31</v>
      </c>
      <c r="J75" s="225">
        <v>10</v>
      </c>
      <c r="K75" s="89">
        <v>11</v>
      </c>
      <c r="L75" s="89">
        <v>16</v>
      </c>
      <c r="M75" s="89">
        <v>10</v>
      </c>
      <c r="N75" s="89">
        <v>32</v>
      </c>
      <c r="O75" s="223">
        <v>16</v>
      </c>
      <c r="P75" s="90" t="s">
        <v>284</v>
      </c>
      <c r="Q75" s="49">
        <f t="shared" ref="Q75:Q87" si="6">SUM(R75:V75)</f>
        <v>245</v>
      </c>
      <c r="R75" s="223">
        <v>198</v>
      </c>
      <c r="S75" s="223">
        <v>7</v>
      </c>
      <c r="T75" s="223">
        <v>35</v>
      </c>
      <c r="U75" s="256">
        <v>2</v>
      </c>
      <c r="V75" s="49">
        <v>3</v>
      </c>
      <c r="W75" s="223">
        <v>15</v>
      </c>
      <c r="X75" s="223">
        <v>52</v>
      </c>
      <c r="Y75" s="256" t="s">
        <v>284</v>
      </c>
      <c r="Z75" s="223">
        <v>8</v>
      </c>
      <c r="AA75" s="89">
        <v>13</v>
      </c>
      <c r="AB75" s="256" t="s">
        <v>284</v>
      </c>
      <c r="AC75" s="225">
        <v>3</v>
      </c>
      <c r="AD75" s="256">
        <v>3</v>
      </c>
      <c r="AE75" s="225">
        <v>6</v>
      </c>
      <c r="AF75" s="89">
        <v>146</v>
      </c>
      <c r="AG75" s="89">
        <v>20</v>
      </c>
      <c r="AH75" s="89">
        <v>6</v>
      </c>
      <c r="AI75" s="89">
        <f t="shared" ref="AI75:AI107" si="7">AG75-AH75</f>
        <v>14</v>
      </c>
      <c r="AJ75" s="89">
        <v>11</v>
      </c>
      <c r="AK75" s="90" t="s">
        <v>284</v>
      </c>
      <c r="AL75" s="90">
        <v>4</v>
      </c>
    </row>
    <row r="76" spans="2:38" ht="15" customHeight="1">
      <c r="B76" s="137" t="s">
        <v>388</v>
      </c>
      <c r="C76" s="89">
        <v>164</v>
      </c>
      <c r="D76" s="225" t="s">
        <v>284</v>
      </c>
      <c r="E76" s="225">
        <v>3</v>
      </c>
      <c r="F76" s="89">
        <v>2</v>
      </c>
      <c r="G76" s="225">
        <v>46</v>
      </c>
      <c r="H76" s="89">
        <v>13</v>
      </c>
      <c r="I76" s="89">
        <v>12</v>
      </c>
      <c r="J76" s="225">
        <v>3</v>
      </c>
      <c r="K76" s="89">
        <v>4</v>
      </c>
      <c r="L76" s="89">
        <v>5</v>
      </c>
      <c r="M76" s="89">
        <v>1</v>
      </c>
      <c r="N76" s="89">
        <v>4</v>
      </c>
      <c r="O76" s="223">
        <v>6</v>
      </c>
      <c r="P76" s="90" t="s">
        <v>284</v>
      </c>
      <c r="Q76" s="49">
        <f t="shared" si="6"/>
        <v>53</v>
      </c>
      <c r="R76" s="223">
        <v>42</v>
      </c>
      <c r="S76" s="256" t="s">
        <v>284</v>
      </c>
      <c r="T76" s="223">
        <v>6</v>
      </c>
      <c r="U76" s="256">
        <v>2</v>
      </c>
      <c r="V76" s="49">
        <v>3</v>
      </c>
      <c r="W76" s="223">
        <v>1</v>
      </c>
      <c r="X76" s="223">
        <v>12</v>
      </c>
      <c r="Y76" s="256" t="s">
        <v>284</v>
      </c>
      <c r="Z76" s="256">
        <v>3</v>
      </c>
      <c r="AA76" s="89">
        <v>3</v>
      </c>
      <c r="AB76" s="256" t="s">
        <v>284</v>
      </c>
      <c r="AC76" s="256" t="s">
        <v>284</v>
      </c>
      <c r="AD76" s="256" t="s">
        <v>284</v>
      </c>
      <c r="AE76" s="256" t="s">
        <v>284</v>
      </c>
      <c r="AF76" s="89">
        <v>28</v>
      </c>
      <c r="AG76" s="89">
        <v>3</v>
      </c>
      <c r="AH76" s="89">
        <v>2</v>
      </c>
      <c r="AI76" s="89">
        <f t="shared" si="7"/>
        <v>1</v>
      </c>
      <c r="AJ76" s="89">
        <v>4</v>
      </c>
      <c r="AK76" s="90" t="s">
        <v>284</v>
      </c>
      <c r="AL76" s="90" t="s">
        <v>284</v>
      </c>
    </row>
    <row r="77" spans="2:38" ht="15" customHeight="1">
      <c r="B77" s="137" t="s">
        <v>389</v>
      </c>
      <c r="C77" s="89">
        <v>1426</v>
      </c>
      <c r="D77" s="225" t="s">
        <v>284</v>
      </c>
      <c r="E77" s="225">
        <v>12</v>
      </c>
      <c r="F77" s="89">
        <v>9</v>
      </c>
      <c r="G77" s="225">
        <v>373</v>
      </c>
      <c r="H77" s="89">
        <v>87</v>
      </c>
      <c r="I77" s="89">
        <v>130</v>
      </c>
      <c r="J77" s="225">
        <v>31</v>
      </c>
      <c r="K77" s="89">
        <v>33</v>
      </c>
      <c r="L77" s="89">
        <v>10</v>
      </c>
      <c r="M77" s="89">
        <v>20</v>
      </c>
      <c r="N77" s="89">
        <v>53</v>
      </c>
      <c r="O77" s="256">
        <v>49</v>
      </c>
      <c r="P77" s="90">
        <v>1</v>
      </c>
      <c r="Q77" s="49">
        <f t="shared" si="6"/>
        <v>453</v>
      </c>
      <c r="R77" s="223">
        <v>352</v>
      </c>
      <c r="S77" s="256">
        <v>19</v>
      </c>
      <c r="T77" s="223">
        <v>67</v>
      </c>
      <c r="U77" s="256">
        <v>3</v>
      </c>
      <c r="V77" s="90">
        <v>12</v>
      </c>
      <c r="W77" s="223">
        <v>13</v>
      </c>
      <c r="X77" s="223">
        <v>86</v>
      </c>
      <c r="Y77" s="256">
        <v>1</v>
      </c>
      <c r="Z77" s="223">
        <v>10</v>
      </c>
      <c r="AA77" s="89">
        <v>24</v>
      </c>
      <c r="AB77" s="256">
        <v>1</v>
      </c>
      <c r="AC77" s="256">
        <v>5</v>
      </c>
      <c r="AD77" s="256">
        <v>6</v>
      </c>
      <c r="AE77" s="225">
        <v>22</v>
      </c>
      <c r="AF77" s="89">
        <v>249</v>
      </c>
      <c r="AG77" s="89">
        <v>83</v>
      </c>
      <c r="AH77" s="89">
        <v>23</v>
      </c>
      <c r="AI77" s="89">
        <f t="shared" si="7"/>
        <v>60</v>
      </c>
      <c r="AJ77" s="89">
        <v>18</v>
      </c>
      <c r="AK77" s="90">
        <v>5</v>
      </c>
      <c r="AL77" s="90">
        <v>6</v>
      </c>
    </row>
    <row r="78" spans="2:38" ht="15" customHeight="1">
      <c r="B78" s="137" t="s">
        <v>390</v>
      </c>
      <c r="C78" s="89">
        <v>617</v>
      </c>
      <c r="D78" s="225" t="s">
        <v>284</v>
      </c>
      <c r="E78" s="225">
        <v>2</v>
      </c>
      <c r="F78" s="89">
        <v>6</v>
      </c>
      <c r="G78" s="225">
        <v>129</v>
      </c>
      <c r="H78" s="89">
        <v>26</v>
      </c>
      <c r="I78" s="89">
        <v>47</v>
      </c>
      <c r="J78" s="225">
        <v>9</v>
      </c>
      <c r="K78" s="89">
        <v>9</v>
      </c>
      <c r="L78" s="89">
        <v>7</v>
      </c>
      <c r="M78" s="89">
        <v>7</v>
      </c>
      <c r="N78" s="89">
        <v>21</v>
      </c>
      <c r="O78" s="223">
        <v>20</v>
      </c>
      <c r="P78" s="90" t="s">
        <v>284</v>
      </c>
      <c r="Q78" s="49">
        <f t="shared" si="6"/>
        <v>211</v>
      </c>
      <c r="R78" s="223">
        <v>175</v>
      </c>
      <c r="S78" s="223">
        <v>3</v>
      </c>
      <c r="T78" s="223">
        <v>25</v>
      </c>
      <c r="U78" s="256">
        <v>3</v>
      </c>
      <c r="V78" s="49">
        <v>5</v>
      </c>
      <c r="W78" s="223">
        <v>15</v>
      </c>
      <c r="X78" s="223">
        <v>39</v>
      </c>
      <c r="Y78" s="256" t="s">
        <v>284</v>
      </c>
      <c r="Z78" s="223">
        <v>7</v>
      </c>
      <c r="AA78" s="89">
        <v>7</v>
      </c>
      <c r="AB78" s="256" t="s">
        <v>284</v>
      </c>
      <c r="AC78" s="225">
        <v>3</v>
      </c>
      <c r="AD78" s="256">
        <v>2</v>
      </c>
      <c r="AE78" s="225">
        <v>12</v>
      </c>
      <c r="AF78" s="89">
        <v>121</v>
      </c>
      <c r="AG78" s="89">
        <v>31</v>
      </c>
      <c r="AH78" s="89">
        <v>8</v>
      </c>
      <c r="AI78" s="89">
        <f t="shared" si="7"/>
        <v>23</v>
      </c>
      <c r="AJ78" s="89">
        <v>8</v>
      </c>
      <c r="AK78" s="89">
        <v>2</v>
      </c>
      <c r="AL78" s="90">
        <v>2</v>
      </c>
    </row>
    <row r="79" spans="2:38" ht="15" customHeight="1">
      <c r="B79" s="137" t="s">
        <v>391</v>
      </c>
      <c r="C79" s="89">
        <v>192</v>
      </c>
      <c r="D79" s="225" t="s">
        <v>284</v>
      </c>
      <c r="E79" s="225" t="s">
        <v>284</v>
      </c>
      <c r="F79" s="225" t="s">
        <v>284</v>
      </c>
      <c r="G79" s="225">
        <v>47</v>
      </c>
      <c r="H79" s="89">
        <v>11</v>
      </c>
      <c r="I79" s="89">
        <v>15</v>
      </c>
      <c r="J79" s="225">
        <v>3</v>
      </c>
      <c r="K79" s="89">
        <v>4</v>
      </c>
      <c r="L79" s="89">
        <v>3</v>
      </c>
      <c r="M79" s="89">
        <v>3</v>
      </c>
      <c r="N79" s="89">
        <v>8</v>
      </c>
      <c r="O79" s="223">
        <v>6</v>
      </c>
      <c r="P79" s="90" t="s">
        <v>284</v>
      </c>
      <c r="Q79" s="49">
        <f t="shared" si="6"/>
        <v>59</v>
      </c>
      <c r="R79" s="223">
        <v>46</v>
      </c>
      <c r="S79" s="256" t="s">
        <v>284</v>
      </c>
      <c r="T79" s="223">
        <v>12</v>
      </c>
      <c r="U79" s="256" t="s">
        <v>284</v>
      </c>
      <c r="V79" s="49">
        <v>1</v>
      </c>
      <c r="W79" s="223">
        <v>2</v>
      </c>
      <c r="X79" s="223">
        <v>17</v>
      </c>
      <c r="Y79" s="256">
        <v>2</v>
      </c>
      <c r="Z79" s="223">
        <v>2</v>
      </c>
      <c r="AA79" s="89">
        <v>2</v>
      </c>
      <c r="AB79" s="256" t="s">
        <v>284</v>
      </c>
      <c r="AC79" s="256">
        <v>1</v>
      </c>
      <c r="AD79" s="256" t="s">
        <v>284</v>
      </c>
      <c r="AE79" s="256" t="s">
        <v>284</v>
      </c>
      <c r="AF79" s="89">
        <v>42</v>
      </c>
      <c r="AG79" s="89">
        <v>7</v>
      </c>
      <c r="AH79" s="89">
        <v>4</v>
      </c>
      <c r="AI79" s="89">
        <f t="shared" si="7"/>
        <v>3</v>
      </c>
      <c r="AJ79" s="89">
        <v>4</v>
      </c>
      <c r="AK79" s="90" t="s">
        <v>284</v>
      </c>
      <c r="AL79" s="90">
        <v>1</v>
      </c>
    </row>
    <row r="80" spans="2:38" ht="15" customHeight="1">
      <c r="B80" s="137"/>
      <c r="C80" s="89"/>
      <c r="D80" s="225"/>
      <c r="E80" s="225"/>
      <c r="F80" s="89"/>
      <c r="G80" s="225"/>
      <c r="H80" s="89"/>
      <c r="I80" s="89"/>
      <c r="J80" s="225"/>
      <c r="K80" s="89"/>
      <c r="L80" s="89"/>
      <c r="M80" s="89"/>
      <c r="N80" s="89"/>
      <c r="O80" s="223"/>
      <c r="P80" s="90"/>
      <c r="Q80" s="49"/>
      <c r="R80" s="223"/>
      <c r="S80" s="223"/>
      <c r="T80" s="223"/>
      <c r="U80" s="256"/>
      <c r="V80" s="49"/>
      <c r="W80" s="223"/>
      <c r="X80" s="223"/>
      <c r="Y80" s="256"/>
      <c r="Z80" s="223"/>
      <c r="AA80" s="89"/>
      <c r="AB80" s="256"/>
      <c r="AC80" s="256"/>
      <c r="AD80" s="256"/>
      <c r="AE80" s="225"/>
      <c r="AF80" s="89"/>
      <c r="AG80" s="89"/>
      <c r="AH80" s="89"/>
      <c r="AI80" s="89"/>
      <c r="AJ80" s="90"/>
      <c r="AK80" s="90"/>
      <c r="AL80" s="90"/>
    </row>
    <row r="81" spans="2:38" ht="15" customHeight="1">
      <c r="B81" s="137" t="s">
        <v>392</v>
      </c>
      <c r="C81" s="89">
        <v>1702</v>
      </c>
      <c r="D81" s="225" t="s">
        <v>284</v>
      </c>
      <c r="E81" s="225">
        <v>14</v>
      </c>
      <c r="F81" s="89">
        <v>15</v>
      </c>
      <c r="G81" s="225">
        <v>381</v>
      </c>
      <c r="H81" s="89">
        <v>92</v>
      </c>
      <c r="I81" s="89">
        <v>119</v>
      </c>
      <c r="J81" s="225">
        <v>25</v>
      </c>
      <c r="K81" s="89">
        <v>38</v>
      </c>
      <c r="L81" s="89">
        <v>16</v>
      </c>
      <c r="M81" s="89">
        <v>14</v>
      </c>
      <c r="N81" s="89">
        <v>69</v>
      </c>
      <c r="O81" s="223">
        <v>59</v>
      </c>
      <c r="P81" s="90">
        <v>1</v>
      </c>
      <c r="Q81" s="49">
        <f t="shared" si="6"/>
        <v>520</v>
      </c>
      <c r="R81" s="223">
        <v>381</v>
      </c>
      <c r="S81" s="223">
        <v>16</v>
      </c>
      <c r="T81" s="223">
        <v>97</v>
      </c>
      <c r="U81" s="223">
        <v>10</v>
      </c>
      <c r="V81" s="49">
        <v>16</v>
      </c>
      <c r="W81" s="223">
        <v>30</v>
      </c>
      <c r="X81" s="223">
        <v>120</v>
      </c>
      <c r="Y81" s="223">
        <v>1</v>
      </c>
      <c r="Z81" s="223">
        <v>21</v>
      </c>
      <c r="AA81" s="89">
        <v>29</v>
      </c>
      <c r="AB81" s="256" t="s">
        <v>284</v>
      </c>
      <c r="AC81" s="225">
        <v>10</v>
      </c>
      <c r="AD81" s="256">
        <v>11</v>
      </c>
      <c r="AE81" s="225">
        <v>11</v>
      </c>
      <c r="AF81" s="89">
        <v>356</v>
      </c>
      <c r="AG81" s="89">
        <v>86</v>
      </c>
      <c r="AH81" s="89">
        <v>18</v>
      </c>
      <c r="AI81" s="89">
        <f t="shared" si="7"/>
        <v>68</v>
      </c>
      <c r="AJ81" s="89">
        <v>20</v>
      </c>
      <c r="AK81" s="89">
        <v>13</v>
      </c>
      <c r="AL81" s="90">
        <v>4</v>
      </c>
    </row>
    <row r="82" spans="2:38" ht="15" customHeight="1">
      <c r="B82" s="137" t="s">
        <v>393</v>
      </c>
      <c r="C82" s="89">
        <v>458</v>
      </c>
      <c r="D82" s="225" t="s">
        <v>284</v>
      </c>
      <c r="E82" s="225">
        <v>5</v>
      </c>
      <c r="F82" s="89">
        <v>4</v>
      </c>
      <c r="G82" s="225">
        <v>112</v>
      </c>
      <c r="H82" s="89">
        <v>22</v>
      </c>
      <c r="I82" s="89">
        <v>37</v>
      </c>
      <c r="J82" s="225">
        <v>6</v>
      </c>
      <c r="K82" s="89">
        <v>12</v>
      </c>
      <c r="L82" s="89">
        <v>9</v>
      </c>
      <c r="M82" s="89">
        <v>6</v>
      </c>
      <c r="N82" s="89">
        <v>19</v>
      </c>
      <c r="O82" s="223">
        <v>10</v>
      </c>
      <c r="P82" s="90" t="s">
        <v>284</v>
      </c>
      <c r="Q82" s="49">
        <f t="shared" si="6"/>
        <v>140</v>
      </c>
      <c r="R82" s="223">
        <v>105</v>
      </c>
      <c r="S82" s="223">
        <v>4</v>
      </c>
      <c r="T82" s="223">
        <v>29</v>
      </c>
      <c r="U82" s="256" t="s">
        <v>284</v>
      </c>
      <c r="V82" s="49">
        <v>2</v>
      </c>
      <c r="W82" s="223">
        <v>8</v>
      </c>
      <c r="X82" s="223">
        <v>45</v>
      </c>
      <c r="Y82" s="256">
        <v>1</v>
      </c>
      <c r="Z82" s="223">
        <v>9</v>
      </c>
      <c r="AA82" s="89">
        <v>4</v>
      </c>
      <c r="AB82" s="256" t="s">
        <v>284</v>
      </c>
      <c r="AC82" s="225">
        <v>2</v>
      </c>
      <c r="AD82" s="256">
        <v>1</v>
      </c>
      <c r="AE82" s="225">
        <v>1</v>
      </c>
      <c r="AF82" s="89">
        <v>87</v>
      </c>
      <c r="AG82" s="89">
        <v>17</v>
      </c>
      <c r="AH82" s="89">
        <v>7</v>
      </c>
      <c r="AI82" s="89">
        <f t="shared" si="7"/>
        <v>10</v>
      </c>
      <c r="AJ82" s="89">
        <v>8</v>
      </c>
      <c r="AK82" s="89">
        <v>1</v>
      </c>
      <c r="AL82" s="90">
        <v>3</v>
      </c>
    </row>
    <row r="83" spans="2:38" ht="15" customHeight="1">
      <c r="B83" s="137" t="s">
        <v>394</v>
      </c>
      <c r="C83" s="89">
        <v>9898</v>
      </c>
      <c r="D83" s="225">
        <v>1</v>
      </c>
      <c r="E83" s="225">
        <v>165</v>
      </c>
      <c r="F83" s="89">
        <v>92</v>
      </c>
      <c r="G83" s="225">
        <v>2187</v>
      </c>
      <c r="H83" s="89">
        <v>594</v>
      </c>
      <c r="I83" s="89">
        <v>582</v>
      </c>
      <c r="J83" s="225">
        <v>178</v>
      </c>
      <c r="K83" s="89">
        <v>223</v>
      </c>
      <c r="L83" s="89">
        <v>141</v>
      </c>
      <c r="M83" s="89">
        <v>77</v>
      </c>
      <c r="N83" s="89">
        <v>335</v>
      </c>
      <c r="O83" s="223">
        <v>281</v>
      </c>
      <c r="P83" s="90">
        <v>13</v>
      </c>
      <c r="Q83" s="49">
        <f t="shared" si="6"/>
        <v>3325</v>
      </c>
      <c r="R83" s="223">
        <v>2587</v>
      </c>
      <c r="S83" s="256">
        <v>101</v>
      </c>
      <c r="T83" s="223">
        <v>525</v>
      </c>
      <c r="U83" s="223">
        <v>30</v>
      </c>
      <c r="V83" s="49">
        <v>82</v>
      </c>
      <c r="W83" s="223">
        <v>189</v>
      </c>
      <c r="X83" s="223">
        <v>526</v>
      </c>
      <c r="Y83" s="223">
        <v>12</v>
      </c>
      <c r="Z83" s="223">
        <v>132</v>
      </c>
      <c r="AA83" s="89">
        <v>178</v>
      </c>
      <c r="AB83" s="256">
        <v>6</v>
      </c>
      <c r="AC83" s="225">
        <v>35</v>
      </c>
      <c r="AD83" s="256">
        <v>57</v>
      </c>
      <c r="AE83" s="225">
        <v>84</v>
      </c>
      <c r="AF83" s="89">
        <v>2025</v>
      </c>
      <c r="AG83" s="89">
        <v>341</v>
      </c>
      <c r="AH83" s="89">
        <v>63</v>
      </c>
      <c r="AI83" s="89">
        <f t="shared" si="7"/>
        <v>278</v>
      </c>
      <c r="AJ83" s="89">
        <v>149</v>
      </c>
      <c r="AK83" s="90">
        <v>38</v>
      </c>
      <c r="AL83" s="90">
        <v>62</v>
      </c>
    </row>
    <row r="84" spans="2:38" ht="15" customHeight="1">
      <c r="B84" s="137" t="s">
        <v>395</v>
      </c>
      <c r="C84" s="89">
        <v>260</v>
      </c>
      <c r="D84" s="225" t="s">
        <v>284</v>
      </c>
      <c r="E84" s="225">
        <v>3</v>
      </c>
      <c r="F84" s="89">
        <v>2</v>
      </c>
      <c r="G84" s="225">
        <v>62</v>
      </c>
      <c r="H84" s="89">
        <v>16</v>
      </c>
      <c r="I84" s="89">
        <v>18</v>
      </c>
      <c r="J84" s="225">
        <v>6</v>
      </c>
      <c r="K84" s="89">
        <v>2</v>
      </c>
      <c r="L84" s="89">
        <v>5</v>
      </c>
      <c r="M84" s="89">
        <v>1</v>
      </c>
      <c r="N84" s="89">
        <v>13</v>
      </c>
      <c r="O84" s="223">
        <v>2</v>
      </c>
      <c r="P84" s="90" t="s">
        <v>284</v>
      </c>
      <c r="Q84" s="49">
        <f t="shared" si="6"/>
        <v>84</v>
      </c>
      <c r="R84" s="223">
        <v>63</v>
      </c>
      <c r="S84" s="256">
        <v>2</v>
      </c>
      <c r="T84" s="223">
        <v>17</v>
      </c>
      <c r="U84" s="256" t="s">
        <v>284</v>
      </c>
      <c r="V84" s="49">
        <v>2</v>
      </c>
      <c r="W84" s="223">
        <v>9</v>
      </c>
      <c r="X84" s="223">
        <v>17</v>
      </c>
      <c r="Y84" s="256" t="s">
        <v>284</v>
      </c>
      <c r="Z84" s="256">
        <v>2</v>
      </c>
      <c r="AA84" s="89">
        <v>8</v>
      </c>
      <c r="AB84" s="256" t="s">
        <v>284</v>
      </c>
      <c r="AC84" s="225">
        <v>2</v>
      </c>
      <c r="AD84" s="256" t="s">
        <v>284</v>
      </c>
      <c r="AE84" s="225">
        <v>2</v>
      </c>
      <c r="AF84" s="89">
        <v>44</v>
      </c>
      <c r="AG84" s="89">
        <v>18</v>
      </c>
      <c r="AH84" s="89">
        <v>3</v>
      </c>
      <c r="AI84" s="89">
        <f t="shared" si="7"/>
        <v>15</v>
      </c>
      <c r="AJ84" s="89">
        <v>4</v>
      </c>
      <c r="AK84" s="90" t="s">
        <v>284</v>
      </c>
      <c r="AL84" s="90">
        <v>1</v>
      </c>
    </row>
    <row r="85" spans="2:38" ht="15" customHeight="1">
      <c r="B85" s="137" t="s">
        <v>396</v>
      </c>
      <c r="C85" s="89">
        <v>327</v>
      </c>
      <c r="D85" s="225" t="s">
        <v>284</v>
      </c>
      <c r="E85" s="225">
        <v>8</v>
      </c>
      <c r="F85" s="225" t="s">
        <v>284</v>
      </c>
      <c r="G85" s="225">
        <v>66</v>
      </c>
      <c r="H85" s="89">
        <v>15</v>
      </c>
      <c r="I85" s="89">
        <v>21</v>
      </c>
      <c r="J85" s="225">
        <v>4</v>
      </c>
      <c r="K85" s="89">
        <v>9</v>
      </c>
      <c r="L85" s="89">
        <v>4</v>
      </c>
      <c r="M85" s="89">
        <v>3</v>
      </c>
      <c r="N85" s="89">
        <v>9</v>
      </c>
      <c r="O85" s="223">
        <v>6</v>
      </c>
      <c r="P85" s="90" t="s">
        <v>284</v>
      </c>
      <c r="Q85" s="49">
        <f t="shared" si="6"/>
        <v>128</v>
      </c>
      <c r="R85" s="223">
        <v>111</v>
      </c>
      <c r="S85" s="256">
        <v>1</v>
      </c>
      <c r="T85" s="223">
        <v>14</v>
      </c>
      <c r="U85" s="256" t="s">
        <v>284</v>
      </c>
      <c r="V85" s="49">
        <v>2</v>
      </c>
      <c r="W85" s="223">
        <v>10</v>
      </c>
      <c r="X85" s="223">
        <v>32</v>
      </c>
      <c r="Y85" s="256">
        <v>1</v>
      </c>
      <c r="Z85" s="223">
        <v>7</v>
      </c>
      <c r="AA85" s="89">
        <v>7</v>
      </c>
      <c r="AB85" s="256" t="s">
        <v>284</v>
      </c>
      <c r="AC85" s="256" t="s">
        <v>284</v>
      </c>
      <c r="AD85" s="256" t="s">
        <v>284</v>
      </c>
      <c r="AE85" s="225">
        <v>1</v>
      </c>
      <c r="AF85" s="89">
        <v>39</v>
      </c>
      <c r="AG85" s="89">
        <v>15</v>
      </c>
      <c r="AH85" s="89">
        <v>4</v>
      </c>
      <c r="AI85" s="89">
        <f t="shared" si="7"/>
        <v>11</v>
      </c>
      <c r="AJ85" s="89">
        <v>5</v>
      </c>
      <c r="AK85" s="90" t="s">
        <v>284</v>
      </c>
      <c r="AL85" s="90">
        <v>2</v>
      </c>
    </row>
    <row r="86" spans="2:38" ht="15" customHeight="1">
      <c r="B86" s="137"/>
      <c r="C86" s="89"/>
      <c r="D86" s="225"/>
      <c r="E86" s="225"/>
      <c r="F86" s="89"/>
      <c r="G86" s="225"/>
      <c r="H86" s="89"/>
      <c r="I86" s="89"/>
      <c r="J86" s="225"/>
      <c r="K86" s="89"/>
      <c r="L86" s="89"/>
      <c r="M86" s="89"/>
      <c r="N86" s="89"/>
      <c r="O86" s="223"/>
      <c r="P86" s="90"/>
      <c r="Q86" s="49"/>
      <c r="R86" s="223"/>
      <c r="S86" s="256"/>
      <c r="T86" s="223"/>
      <c r="U86" s="256"/>
      <c r="V86" s="49"/>
      <c r="W86" s="223"/>
      <c r="X86" s="223"/>
      <c r="Y86" s="256"/>
      <c r="Z86" s="223"/>
      <c r="AA86" s="89"/>
      <c r="AB86" s="256"/>
      <c r="AC86" s="225"/>
      <c r="AD86" s="256"/>
      <c r="AE86" s="225"/>
      <c r="AF86" s="89"/>
      <c r="AG86" s="89"/>
      <c r="AH86" s="89"/>
      <c r="AI86" s="89"/>
      <c r="AJ86" s="89"/>
      <c r="AK86" s="90"/>
      <c r="AL86" s="90"/>
    </row>
    <row r="87" spans="2:38" ht="15" customHeight="1">
      <c r="B87" s="137" t="s">
        <v>397</v>
      </c>
      <c r="C87" s="89">
        <v>88</v>
      </c>
      <c r="D87" s="225" t="s">
        <v>284</v>
      </c>
      <c r="E87" s="225" t="s">
        <v>284</v>
      </c>
      <c r="F87" s="225" t="s">
        <v>284</v>
      </c>
      <c r="G87" s="225">
        <v>24</v>
      </c>
      <c r="H87" s="89">
        <v>5</v>
      </c>
      <c r="I87" s="89">
        <v>7</v>
      </c>
      <c r="J87" s="225">
        <v>1</v>
      </c>
      <c r="K87" s="89">
        <v>3</v>
      </c>
      <c r="L87" s="89">
        <v>3</v>
      </c>
      <c r="M87" s="89">
        <v>1</v>
      </c>
      <c r="N87" s="89">
        <v>4</v>
      </c>
      <c r="O87" s="223">
        <v>4</v>
      </c>
      <c r="P87" s="90" t="s">
        <v>284</v>
      </c>
      <c r="Q87" s="49">
        <f t="shared" si="6"/>
        <v>33</v>
      </c>
      <c r="R87" s="223">
        <v>24</v>
      </c>
      <c r="S87" s="256">
        <v>1</v>
      </c>
      <c r="T87" s="223">
        <v>6</v>
      </c>
      <c r="U87" s="223">
        <v>1</v>
      </c>
      <c r="V87" s="49">
        <v>1</v>
      </c>
      <c r="W87" s="256" t="s">
        <v>284</v>
      </c>
      <c r="X87" s="223">
        <v>5</v>
      </c>
      <c r="Y87" s="256" t="s">
        <v>284</v>
      </c>
      <c r="Z87" s="256">
        <v>1</v>
      </c>
      <c r="AA87" s="89">
        <v>3</v>
      </c>
      <c r="AB87" s="256" t="s">
        <v>284</v>
      </c>
      <c r="AC87" s="256" t="s">
        <v>284</v>
      </c>
      <c r="AD87" s="256">
        <v>1</v>
      </c>
      <c r="AE87" s="256" t="s">
        <v>284</v>
      </c>
      <c r="AF87" s="89">
        <v>15</v>
      </c>
      <c r="AG87" s="89">
        <v>2</v>
      </c>
      <c r="AH87" s="89">
        <v>1</v>
      </c>
      <c r="AI87" s="89">
        <f t="shared" si="7"/>
        <v>1</v>
      </c>
      <c r="AJ87" s="90" t="s">
        <v>284</v>
      </c>
      <c r="AK87" s="90" t="s">
        <v>284</v>
      </c>
      <c r="AL87" s="90" t="s">
        <v>284</v>
      </c>
    </row>
    <row r="88" spans="2:38" ht="15" customHeight="1">
      <c r="B88" s="137" t="s">
        <v>398</v>
      </c>
      <c r="C88" s="89">
        <v>225</v>
      </c>
      <c r="D88" s="225" t="s">
        <v>284</v>
      </c>
      <c r="E88" s="225">
        <v>2</v>
      </c>
      <c r="F88" s="89">
        <v>2</v>
      </c>
      <c r="G88" s="225">
        <v>61</v>
      </c>
      <c r="H88" s="89">
        <v>14</v>
      </c>
      <c r="I88" s="89">
        <v>16</v>
      </c>
      <c r="J88" s="225">
        <v>2</v>
      </c>
      <c r="K88" s="89">
        <v>5</v>
      </c>
      <c r="L88" s="89">
        <v>7</v>
      </c>
      <c r="M88" s="89">
        <v>4</v>
      </c>
      <c r="N88" s="89">
        <v>12</v>
      </c>
      <c r="O88" s="223">
        <v>5</v>
      </c>
      <c r="P88" s="90" t="s">
        <v>284</v>
      </c>
      <c r="Q88" s="49">
        <f t="shared" ref="Q88:Q108" si="8">SUM(R88:V88)</f>
        <v>79</v>
      </c>
      <c r="R88" s="223">
        <v>65</v>
      </c>
      <c r="S88" s="256">
        <v>1</v>
      </c>
      <c r="T88" s="223">
        <v>10</v>
      </c>
      <c r="U88" s="223">
        <v>2</v>
      </c>
      <c r="V88" s="49">
        <v>1</v>
      </c>
      <c r="W88" s="223">
        <v>2</v>
      </c>
      <c r="X88" s="223">
        <v>16</v>
      </c>
      <c r="Y88" s="256" t="s">
        <v>284</v>
      </c>
      <c r="Z88" s="223">
        <v>4</v>
      </c>
      <c r="AA88" s="256" t="s">
        <v>284</v>
      </c>
      <c r="AB88" s="256" t="s">
        <v>284</v>
      </c>
      <c r="AC88" s="256">
        <v>1</v>
      </c>
      <c r="AD88" s="256" t="s">
        <v>284</v>
      </c>
      <c r="AE88" s="256">
        <v>1</v>
      </c>
      <c r="AF88" s="89">
        <v>36</v>
      </c>
      <c r="AG88" s="89">
        <v>11</v>
      </c>
      <c r="AH88" s="90">
        <v>4</v>
      </c>
      <c r="AI88" s="89">
        <f t="shared" si="7"/>
        <v>7</v>
      </c>
      <c r="AJ88" s="89">
        <v>4</v>
      </c>
      <c r="AK88" s="90" t="s">
        <v>284</v>
      </c>
      <c r="AL88" s="90">
        <v>1</v>
      </c>
    </row>
    <row r="89" spans="2:38" ht="15" customHeight="1">
      <c r="B89" s="137" t="s">
        <v>399</v>
      </c>
      <c r="C89" s="89">
        <v>120</v>
      </c>
      <c r="D89" s="225" t="s">
        <v>284</v>
      </c>
      <c r="E89" s="225" t="s">
        <v>284</v>
      </c>
      <c r="F89" s="89">
        <v>2</v>
      </c>
      <c r="G89" s="225">
        <v>27</v>
      </c>
      <c r="H89" s="89">
        <v>13</v>
      </c>
      <c r="I89" s="89">
        <v>9</v>
      </c>
      <c r="J89" s="225">
        <v>1</v>
      </c>
      <c r="K89" s="89">
        <v>1</v>
      </c>
      <c r="L89" s="89">
        <v>1</v>
      </c>
      <c r="M89" s="89" t="s">
        <v>284</v>
      </c>
      <c r="N89" s="89">
        <v>2</v>
      </c>
      <c r="O89" s="223">
        <v>5</v>
      </c>
      <c r="P89" s="90" t="s">
        <v>284</v>
      </c>
      <c r="Q89" s="49">
        <f t="shared" si="8"/>
        <v>48</v>
      </c>
      <c r="R89" s="223">
        <v>40</v>
      </c>
      <c r="S89" s="256" t="s">
        <v>284</v>
      </c>
      <c r="T89" s="223">
        <v>7</v>
      </c>
      <c r="U89" s="256" t="s">
        <v>284</v>
      </c>
      <c r="V89" s="49">
        <v>1</v>
      </c>
      <c r="W89" s="223">
        <v>2</v>
      </c>
      <c r="X89" s="223">
        <v>8</v>
      </c>
      <c r="Y89" s="256" t="s">
        <v>284</v>
      </c>
      <c r="Z89" s="256">
        <v>3</v>
      </c>
      <c r="AA89" s="89">
        <v>1</v>
      </c>
      <c r="AB89" s="256" t="s">
        <v>284</v>
      </c>
      <c r="AC89" s="256" t="s">
        <v>284</v>
      </c>
      <c r="AD89" s="256" t="s">
        <v>284</v>
      </c>
      <c r="AE89" s="256" t="s">
        <v>284</v>
      </c>
      <c r="AF89" s="89">
        <v>16</v>
      </c>
      <c r="AG89" s="89">
        <v>4</v>
      </c>
      <c r="AH89" s="90" t="s">
        <v>284</v>
      </c>
      <c r="AI89" s="89">
        <v>4</v>
      </c>
      <c r="AJ89" s="89">
        <v>4</v>
      </c>
      <c r="AK89" s="90" t="s">
        <v>284</v>
      </c>
      <c r="AL89" s="90" t="s">
        <v>284</v>
      </c>
    </row>
    <row r="90" spans="2:38" ht="15" customHeight="1">
      <c r="B90" s="137" t="s">
        <v>400</v>
      </c>
      <c r="C90" s="89">
        <v>265</v>
      </c>
      <c r="D90" s="225" t="s">
        <v>284</v>
      </c>
      <c r="E90" s="225" t="s">
        <v>284</v>
      </c>
      <c r="F90" s="225" t="s">
        <v>284</v>
      </c>
      <c r="G90" s="225">
        <v>70</v>
      </c>
      <c r="H90" s="89">
        <v>21</v>
      </c>
      <c r="I90" s="89">
        <v>24</v>
      </c>
      <c r="J90" s="225">
        <v>4</v>
      </c>
      <c r="K90" s="89">
        <v>5</v>
      </c>
      <c r="L90" s="89">
        <v>1</v>
      </c>
      <c r="M90" s="89">
        <v>5</v>
      </c>
      <c r="N90" s="89">
        <v>7</v>
      </c>
      <c r="O90" s="223">
        <v>8</v>
      </c>
      <c r="P90" s="90">
        <v>2</v>
      </c>
      <c r="Q90" s="49">
        <f t="shared" si="8"/>
        <v>76</v>
      </c>
      <c r="R90" s="223">
        <v>62</v>
      </c>
      <c r="S90" s="256">
        <v>2</v>
      </c>
      <c r="T90" s="223">
        <v>9</v>
      </c>
      <c r="U90" s="256" t="s">
        <v>284</v>
      </c>
      <c r="V90" s="49">
        <v>3</v>
      </c>
      <c r="W90" s="223">
        <v>6</v>
      </c>
      <c r="X90" s="223">
        <v>20</v>
      </c>
      <c r="Y90" s="256" t="s">
        <v>284</v>
      </c>
      <c r="Z90" s="223">
        <v>5</v>
      </c>
      <c r="AA90" s="89">
        <v>5</v>
      </c>
      <c r="AB90" s="256" t="s">
        <v>284</v>
      </c>
      <c r="AC90" s="256" t="s">
        <v>284</v>
      </c>
      <c r="AD90" s="256">
        <v>1</v>
      </c>
      <c r="AE90" s="225">
        <v>4</v>
      </c>
      <c r="AF90" s="89">
        <v>52</v>
      </c>
      <c r="AG90" s="89">
        <v>8</v>
      </c>
      <c r="AH90" s="89">
        <v>1</v>
      </c>
      <c r="AI90" s="89">
        <f t="shared" si="7"/>
        <v>7</v>
      </c>
      <c r="AJ90" s="89">
        <v>7</v>
      </c>
      <c r="AK90" s="90" t="s">
        <v>284</v>
      </c>
      <c r="AL90" s="90">
        <v>1</v>
      </c>
    </row>
    <row r="91" spans="2:38" ht="15" customHeight="1">
      <c r="B91" s="137" t="s">
        <v>401</v>
      </c>
      <c r="C91" s="89">
        <v>1767</v>
      </c>
      <c r="D91" s="225" t="s">
        <v>284</v>
      </c>
      <c r="E91" s="225">
        <v>19</v>
      </c>
      <c r="F91" s="89">
        <v>8</v>
      </c>
      <c r="G91" s="225">
        <v>390</v>
      </c>
      <c r="H91" s="89">
        <v>107</v>
      </c>
      <c r="I91" s="89">
        <v>96</v>
      </c>
      <c r="J91" s="225">
        <v>23</v>
      </c>
      <c r="K91" s="89">
        <v>43</v>
      </c>
      <c r="L91" s="89">
        <v>27</v>
      </c>
      <c r="M91" s="89">
        <v>21</v>
      </c>
      <c r="N91" s="89">
        <v>62</v>
      </c>
      <c r="O91" s="223">
        <v>32</v>
      </c>
      <c r="P91" s="90">
        <v>1</v>
      </c>
      <c r="Q91" s="49">
        <f t="shared" si="8"/>
        <v>500</v>
      </c>
      <c r="R91" s="223">
        <v>368</v>
      </c>
      <c r="S91" s="256">
        <v>13</v>
      </c>
      <c r="T91" s="223">
        <v>103</v>
      </c>
      <c r="U91" s="223">
        <v>1</v>
      </c>
      <c r="V91" s="49">
        <v>15</v>
      </c>
      <c r="W91" s="223">
        <v>54</v>
      </c>
      <c r="X91" s="223">
        <v>88</v>
      </c>
      <c r="Y91" s="256">
        <v>2</v>
      </c>
      <c r="Z91" s="223">
        <v>17</v>
      </c>
      <c r="AA91" s="89">
        <v>33</v>
      </c>
      <c r="AB91" s="256">
        <v>3</v>
      </c>
      <c r="AC91" s="256">
        <v>10</v>
      </c>
      <c r="AD91" s="256">
        <v>14</v>
      </c>
      <c r="AE91" s="225">
        <v>25</v>
      </c>
      <c r="AF91" s="89">
        <v>463</v>
      </c>
      <c r="AG91" s="89">
        <v>75</v>
      </c>
      <c r="AH91" s="89">
        <v>24</v>
      </c>
      <c r="AI91" s="89">
        <f t="shared" si="7"/>
        <v>51</v>
      </c>
      <c r="AJ91" s="89">
        <v>23</v>
      </c>
      <c r="AK91" s="89">
        <v>1</v>
      </c>
      <c r="AL91" s="90">
        <v>9</v>
      </c>
    </row>
    <row r="92" spans="2:38" ht="15" customHeight="1">
      <c r="B92" s="137"/>
      <c r="C92" s="89"/>
      <c r="D92" s="225"/>
      <c r="E92" s="225"/>
      <c r="F92" s="89"/>
      <c r="G92" s="225"/>
      <c r="H92" s="89"/>
      <c r="I92" s="89"/>
      <c r="J92" s="225"/>
      <c r="K92" s="89"/>
      <c r="L92" s="89"/>
      <c r="M92" s="89"/>
      <c r="N92" s="89"/>
      <c r="O92" s="223"/>
      <c r="P92" s="90"/>
      <c r="Q92" s="49"/>
      <c r="R92" s="223"/>
      <c r="S92" s="256"/>
      <c r="T92" s="223"/>
      <c r="U92" s="223"/>
      <c r="V92" s="49"/>
      <c r="W92" s="223"/>
      <c r="X92" s="223"/>
      <c r="Y92" s="256"/>
      <c r="Z92" s="223"/>
      <c r="AA92" s="89"/>
      <c r="AB92" s="256"/>
      <c r="AC92" s="225"/>
      <c r="AD92" s="256"/>
      <c r="AE92" s="225"/>
      <c r="AF92" s="89"/>
      <c r="AG92" s="89"/>
      <c r="AH92" s="89"/>
      <c r="AI92" s="89"/>
      <c r="AJ92" s="89"/>
      <c r="AK92" s="89"/>
      <c r="AL92" s="90"/>
    </row>
    <row r="93" spans="2:38" ht="15" customHeight="1">
      <c r="B93" s="137" t="s">
        <v>402</v>
      </c>
      <c r="C93" s="89">
        <v>177</v>
      </c>
      <c r="D93" s="225" t="s">
        <v>284</v>
      </c>
      <c r="E93" s="225">
        <v>1</v>
      </c>
      <c r="F93" s="89">
        <v>1</v>
      </c>
      <c r="G93" s="225">
        <v>41</v>
      </c>
      <c r="H93" s="89">
        <v>12</v>
      </c>
      <c r="I93" s="89">
        <v>15</v>
      </c>
      <c r="J93" s="225">
        <v>1</v>
      </c>
      <c r="K93" s="89">
        <v>4</v>
      </c>
      <c r="L93" s="89">
        <v>3</v>
      </c>
      <c r="M93" s="89" t="s">
        <v>284</v>
      </c>
      <c r="N93" s="89">
        <v>5</v>
      </c>
      <c r="O93" s="223">
        <v>3</v>
      </c>
      <c r="P93" s="90" t="s">
        <v>284</v>
      </c>
      <c r="Q93" s="49">
        <f t="shared" si="8"/>
        <v>55</v>
      </c>
      <c r="R93" s="223">
        <v>39</v>
      </c>
      <c r="S93" s="256" t="s">
        <v>284</v>
      </c>
      <c r="T93" s="223">
        <v>13</v>
      </c>
      <c r="U93" s="256" t="s">
        <v>284</v>
      </c>
      <c r="V93" s="49">
        <v>3</v>
      </c>
      <c r="W93" s="223">
        <v>4</v>
      </c>
      <c r="X93" s="223">
        <v>12</v>
      </c>
      <c r="Y93" s="256" t="s">
        <v>284</v>
      </c>
      <c r="Z93" s="223">
        <v>1</v>
      </c>
      <c r="AA93" s="89">
        <v>7</v>
      </c>
      <c r="AB93" s="256" t="s">
        <v>284</v>
      </c>
      <c r="AC93" s="225">
        <v>2</v>
      </c>
      <c r="AD93" s="256" t="s">
        <v>284</v>
      </c>
      <c r="AE93" s="256" t="s">
        <v>284</v>
      </c>
      <c r="AF93" s="89">
        <v>36</v>
      </c>
      <c r="AG93" s="89">
        <v>10</v>
      </c>
      <c r="AH93" s="90" t="s">
        <v>284</v>
      </c>
      <c r="AI93" s="89">
        <v>10</v>
      </c>
      <c r="AJ93" s="89">
        <v>4</v>
      </c>
      <c r="AK93" s="90" t="s">
        <v>284</v>
      </c>
      <c r="AL93" s="90" t="s">
        <v>284</v>
      </c>
    </row>
    <row r="94" spans="2:38" ht="15" customHeight="1">
      <c r="B94" s="137" t="s">
        <v>403</v>
      </c>
      <c r="C94" s="89">
        <v>393</v>
      </c>
      <c r="D94" s="225" t="s">
        <v>284</v>
      </c>
      <c r="E94" s="225">
        <v>4</v>
      </c>
      <c r="F94" s="89">
        <v>5</v>
      </c>
      <c r="G94" s="225">
        <v>101</v>
      </c>
      <c r="H94" s="89">
        <v>31</v>
      </c>
      <c r="I94" s="89">
        <v>31</v>
      </c>
      <c r="J94" s="225">
        <v>4</v>
      </c>
      <c r="K94" s="89">
        <v>8</v>
      </c>
      <c r="L94" s="89">
        <v>4</v>
      </c>
      <c r="M94" s="89">
        <v>4</v>
      </c>
      <c r="N94" s="89">
        <v>18</v>
      </c>
      <c r="O94" s="223">
        <v>4</v>
      </c>
      <c r="P94" s="90">
        <v>2</v>
      </c>
      <c r="Q94" s="49">
        <f t="shared" si="8"/>
        <v>142</v>
      </c>
      <c r="R94" s="223">
        <v>124</v>
      </c>
      <c r="S94" s="256" t="s">
        <v>284</v>
      </c>
      <c r="T94" s="223">
        <v>16</v>
      </c>
      <c r="U94" s="256" t="s">
        <v>284</v>
      </c>
      <c r="V94" s="49">
        <v>2</v>
      </c>
      <c r="W94" s="223">
        <v>6</v>
      </c>
      <c r="X94" s="223">
        <v>31</v>
      </c>
      <c r="Y94" s="256">
        <v>1</v>
      </c>
      <c r="Z94" s="256">
        <v>1</v>
      </c>
      <c r="AA94" s="89">
        <v>5</v>
      </c>
      <c r="AB94" s="256" t="s">
        <v>284</v>
      </c>
      <c r="AC94" s="256">
        <v>1</v>
      </c>
      <c r="AD94" s="256" t="s">
        <v>284</v>
      </c>
      <c r="AE94" s="225">
        <v>3</v>
      </c>
      <c r="AF94" s="89">
        <v>63</v>
      </c>
      <c r="AG94" s="89">
        <v>15</v>
      </c>
      <c r="AH94" s="89">
        <v>3</v>
      </c>
      <c r="AI94" s="89">
        <f t="shared" si="7"/>
        <v>12</v>
      </c>
      <c r="AJ94" s="89">
        <v>6</v>
      </c>
      <c r="AK94" s="90">
        <v>1</v>
      </c>
      <c r="AL94" s="90">
        <v>2</v>
      </c>
    </row>
    <row r="95" spans="2:38" ht="15" customHeight="1">
      <c r="B95" s="137" t="s">
        <v>404</v>
      </c>
      <c r="C95" s="89">
        <v>1961</v>
      </c>
      <c r="D95" s="225" t="s">
        <v>284</v>
      </c>
      <c r="E95" s="225">
        <v>31</v>
      </c>
      <c r="F95" s="89">
        <v>17</v>
      </c>
      <c r="G95" s="225">
        <v>452</v>
      </c>
      <c r="H95" s="89">
        <v>123</v>
      </c>
      <c r="I95" s="89">
        <v>137</v>
      </c>
      <c r="J95" s="225">
        <v>26</v>
      </c>
      <c r="K95" s="89">
        <v>42</v>
      </c>
      <c r="L95" s="89">
        <v>21</v>
      </c>
      <c r="M95" s="89">
        <v>26</v>
      </c>
      <c r="N95" s="89">
        <v>69</v>
      </c>
      <c r="O95" s="223">
        <v>62</v>
      </c>
      <c r="P95" s="90">
        <v>3</v>
      </c>
      <c r="Q95" s="49">
        <f t="shared" si="8"/>
        <v>586</v>
      </c>
      <c r="R95" s="223">
        <v>449</v>
      </c>
      <c r="S95" s="223">
        <v>20</v>
      </c>
      <c r="T95" s="223">
        <v>99</v>
      </c>
      <c r="U95" s="256" t="s">
        <v>284</v>
      </c>
      <c r="V95" s="49">
        <v>18</v>
      </c>
      <c r="W95" s="223">
        <v>37</v>
      </c>
      <c r="X95" s="223">
        <v>107</v>
      </c>
      <c r="Y95" s="256">
        <v>1</v>
      </c>
      <c r="Z95" s="223">
        <v>34</v>
      </c>
      <c r="AA95" s="89">
        <v>40</v>
      </c>
      <c r="AB95" s="256" t="s">
        <v>284</v>
      </c>
      <c r="AC95" s="225">
        <v>5</v>
      </c>
      <c r="AD95" s="256">
        <v>11</v>
      </c>
      <c r="AE95" s="225">
        <v>16</v>
      </c>
      <c r="AF95" s="89">
        <v>422</v>
      </c>
      <c r="AG95" s="89">
        <v>58</v>
      </c>
      <c r="AH95" s="89">
        <v>17</v>
      </c>
      <c r="AI95" s="89">
        <f t="shared" si="7"/>
        <v>41</v>
      </c>
      <c r="AJ95" s="89">
        <v>18</v>
      </c>
      <c r="AK95" s="90">
        <v>30</v>
      </c>
      <c r="AL95" s="90">
        <v>31</v>
      </c>
    </row>
    <row r="96" spans="2:38" ht="15" customHeight="1">
      <c r="B96" s="137" t="s">
        <v>520</v>
      </c>
      <c r="C96" s="89">
        <v>1748</v>
      </c>
      <c r="D96" s="225" t="s">
        <v>284</v>
      </c>
      <c r="E96" s="225">
        <v>23</v>
      </c>
      <c r="F96" s="89">
        <v>11</v>
      </c>
      <c r="G96" s="225">
        <v>366</v>
      </c>
      <c r="H96" s="89">
        <v>110</v>
      </c>
      <c r="I96" s="89">
        <v>133</v>
      </c>
      <c r="J96" s="225">
        <v>25</v>
      </c>
      <c r="K96" s="89">
        <v>23</v>
      </c>
      <c r="L96" s="89">
        <v>13</v>
      </c>
      <c r="M96" s="89">
        <v>8</v>
      </c>
      <c r="N96" s="89">
        <v>47</v>
      </c>
      <c r="O96" s="223">
        <v>71</v>
      </c>
      <c r="P96" s="90">
        <v>1</v>
      </c>
      <c r="Q96" s="49">
        <f t="shared" si="8"/>
        <v>590</v>
      </c>
      <c r="R96" s="223">
        <v>481</v>
      </c>
      <c r="S96" s="223">
        <v>27</v>
      </c>
      <c r="T96" s="223">
        <v>68</v>
      </c>
      <c r="U96" s="223">
        <v>1</v>
      </c>
      <c r="V96" s="49">
        <v>13</v>
      </c>
      <c r="W96" s="223">
        <v>34</v>
      </c>
      <c r="X96" s="223">
        <v>132</v>
      </c>
      <c r="Y96" s="256">
        <v>1</v>
      </c>
      <c r="Z96" s="223">
        <v>19</v>
      </c>
      <c r="AA96" s="89">
        <v>28</v>
      </c>
      <c r="AB96" s="256" t="s">
        <v>284</v>
      </c>
      <c r="AC96" s="225">
        <v>1</v>
      </c>
      <c r="AD96" s="256">
        <v>2</v>
      </c>
      <c r="AE96" s="225">
        <v>16</v>
      </c>
      <c r="AF96" s="89">
        <v>334</v>
      </c>
      <c r="AG96" s="89">
        <v>88</v>
      </c>
      <c r="AH96" s="89">
        <v>18</v>
      </c>
      <c r="AI96" s="89">
        <f t="shared" si="7"/>
        <v>70</v>
      </c>
      <c r="AJ96" s="89">
        <v>22</v>
      </c>
      <c r="AK96" s="89">
        <v>4</v>
      </c>
      <c r="AL96" s="90">
        <v>5</v>
      </c>
    </row>
    <row r="97" spans="2:38" ht="15" customHeight="1">
      <c r="B97" s="137" t="s">
        <v>521</v>
      </c>
      <c r="C97" s="89">
        <v>637</v>
      </c>
      <c r="D97" s="225" t="s">
        <v>284</v>
      </c>
      <c r="E97" s="225">
        <v>9</v>
      </c>
      <c r="F97" s="89">
        <v>4</v>
      </c>
      <c r="G97" s="225">
        <v>139</v>
      </c>
      <c r="H97" s="89">
        <v>36</v>
      </c>
      <c r="I97" s="89">
        <v>43</v>
      </c>
      <c r="J97" s="225">
        <v>7</v>
      </c>
      <c r="K97" s="89">
        <v>10</v>
      </c>
      <c r="L97" s="89">
        <v>6</v>
      </c>
      <c r="M97" s="89">
        <v>8</v>
      </c>
      <c r="N97" s="89">
        <v>23</v>
      </c>
      <c r="O97" s="223">
        <v>29</v>
      </c>
      <c r="P97" s="90" t="s">
        <v>284</v>
      </c>
      <c r="Q97" s="49">
        <f t="shared" si="8"/>
        <v>223</v>
      </c>
      <c r="R97" s="223">
        <v>186</v>
      </c>
      <c r="S97" s="223">
        <v>4</v>
      </c>
      <c r="T97" s="223">
        <v>29</v>
      </c>
      <c r="U97" s="256" t="s">
        <v>284</v>
      </c>
      <c r="V97" s="49">
        <v>4</v>
      </c>
      <c r="W97" s="223">
        <v>12</v>
      </c>
      <c r="X97" s="223">
        <v>48</v>
      </c>
      <c r="Y97" s="256">
        <v>2</v>
      </c>
      <c r="Z97" s="223">
        <v>7</v>
      </c>
      <c r="AA97" s="89">
        <v>9</v>
      </c>
      <c r="AB97" s="256" t="s">
        <v>284</v>
      </c>
      <c r="AC97" s="225">
        <v>3</v>
      </c>
      <c r="AD97" s="256">
        <v>4</v>
      </c>
      <c r="AE97" s="225">
        <v>6</v>
      </c>
      <c r="AF97" s="89">
        <v>101</v>
      </c>
      <c r="AG97" s="89">
        <v>30</v>
      </c>
      <c r="AH97" s="89">
        <v>11</v>
      </c>
      <c r="AI97" s="89">
        <f t="shared" si="7"/>
        <v>19</v>
      </c>
      <c r="AJ97" s="89">
        <v>8</v>
      </c>
      <c r="AK97" s="89">
        <v>1</v>
      </c>
      <c r="AL97" s="90">
        <v>2</v>
      </c>
    </row>
    <row r="98" spans="2:38" ht="15" customHeight="1">
      <c r="B98" s="137"/>
      <c r="C98" s="89"/>
      <c r="D98" s="225"/>
      <c r="E98" s="225"/>
      <c r="F98" s="89"/>
      <c r="G98" s="225"/>
      <c r="H98" s="89"/>
      <c r="I98" s="89"/>
      <c r="J98" s="225"/>
      <c r="K98" s="89"/>
      <c r="L98" s="89"/>
      <c r="M98" s="89"/>
      <c r="N98" s="89"/>
      <c r="O98" s="223"/>
      <c r="P98" s="90"/>
      <c r="Q98" s="49"/>
      <c r="R98" s="223"/>
      <c r="S98" s="223"/>
      <c r="T98" s="223"/>
      <c r="U98" s="256"/>
      <c r="V98" s="49"/>
      <c r="W98" s="223"/>
      <c r="X98" s="223"/>
      <c r="Y98" s="256"/>
      <c r="Z98" s="223"/>
      <c r="AA98" s="89"/>
      <c r="AB98" s="256"/>
      <c r="AC98" s="225"/>
      <c r="AD98" s="256"/>
      <c r="AE98" s="225"/>
      <c r="AF98" s="89"/>
      <c r="AG98" s="89"/>
      <c r="AH98" s="89"/>
      <c r="AI98" s="89"/>
      <c r="AJ98" s="89"/>
      <c r="AK98" s="89"/>
      <c r="AL98" s="90"/>
    </row>
    <row r="99" spans="2:38" ht="15" customHeight="1">
      <c r="B99" s="137" t="s">
        <v>407</v>
      </c>
      <c r="C99" s="89">
        <v>490</v>
      </c>
      <c r="D99" s="225" t="s">
        <v>284</v>
      </c>
      <c r="E99" s="225">
        <v>3</v>
      </c>
      <c r="F99" s="89">
        <v>6</v>
      </c>
      <c r="G99" s="225">
        <v>103</v>
      </c>
      <c r="H99" s="89">
        <v>32</v>
      </c>
      <c r="I99" s="89">
        <v>28</v>
      </c>
      <c r="J99" s="225">
        <v>5</v>
      </c>
      <c r="K99" s="89">
        <v>11</v>
      </c>
      <c r="L99" s="89">
        <v>5</v>
      </c>
      <c r="M99" s="89">
        <v>4</v>
      </c>
      <c r="N99" s="89">
        <v>14</v>
      </c>
      <c r="O99" s="223">
        <v>7</v>
      </c>
      <c r="P99" s="90" t="s">
        <v>284</v>
      </c>
      <c r="Q99" s="49">
        <f t="shared" si="8"/>
        <v>187</v>
      </c>
      <c r="R99" s="223">
        <v>149</v>
      </c>
      <c r="S99" s="223">
        <v>8</v>
      </c>
      <c r="T99" s="223">
        <v>22</v>
      </c>
      <c r="U99" s="256">
        <v>4</v>
      </c>
      <c r="V99" s="49">
        <v>4</v>
      </c>
      <c r="W99" s="223">
        <v>18</v>
      </c>
      <c r="X99" s="223">
        <v>31</v>
      </c>
      <c r="Y99" s="256" t="s">
        <v>284</v>
      </c>
      <c r="Z99" s="223">
        <v>7</v>
      </c>
      <c r="AA99" s="89">
        <v>7</v>
      </c>
      <c r="AB99" s="256" t="s">
        <v>284</v>
      </c>
      <c r="AC99" s="256">
        <v>2</v>
      </c>
      <c r="AD99" s="256" t="s">
        <v>284</v>
      </c>
      <c r="AE99" s="225">
        <v>3</v>
      </c>
      <c r="AF99" s="89">
        <v>91</v>
      </c>
      <c r="AG99" s="89">
        <v>10</v>
      </c>
      <c r="AH99" s="89">
        <v>4</v>
      </c>
      <c r="AI99" s="89">
        <f t="shared" si="7"/>
        <v>6</v>
      </c>
      <c r="AJ99" s="89">
        <v>12</v>
      </c>
      <c r="AK99" s="89">
        <v>1</v>
      </c>
      <c r="AL99" s="90">
        <v>2</v>
      </c>
    </row>
    <row r="100" spans="2:38" ht="15" customHeight="1">
      <c r="B100" s="137" t="s">
        <v>408</v>
      </c>
      <c r="C100" s="89">
        <v>117</v>
      </c>
      <c r="D100" s="225" t="s">
        <v>284</v>
      </c>
      <c r="E100" s="225">
        <v>1</v>
      </c>
      <c r="F100" s="89">
        <v>1</v>
      </c>
      <c r="G100" s="225">
        <v>35</v>
      </c>
      <c r="H100" s="89">
        <v>11</v>
      </c>
      <c r="I100" s="89">
        <v>8</v>
      </c>
      <c r="J100" s="225">
        <v>3</v>
      </c>
      <c r="K100" s="89">
        <v>2</v>
      </c>
      <c r="L100" s="89">
        <v>3</v>
      </c>
      <c r="M100" s="89">
        <v>1</v>
      </c>
      <c r="N100" s="89">
        <v>5</v>
      </c>
      <c r="O100" s="223">
        <v>1</v>
      </c>
      <c r="P100" s="90" t="s">
        <v>284</v>
      </c>
      <c r="Q100" s="49">
        <f t="shared" si="8"/>
        <v>25</v>
      </c>
      <c r="R100" s="223">
        <v>17</v>
      </c>
      <c r="S100" s="256" t="s">
        <v>284</v>
      </c>
      <c r="T100" s="223">
        <v>7</v>
      </c>
      <c r="U100" s="256" t="s">
        <v>284</v>
      </c>
      <c r="V100" s="49">
        <v>1</v>
      </c>
      <c r="W100" s="223">
        <v>3</v>
      </c>
      <c r="X100" s="223">
        <v>5</v>
      </c>
      <c r="Y100" s="256" t="s">
        <v>284</v>
      </c>
      <c r="Z100" s="256" t="s">
        <v>284</v>
      </c>
      <c r="AA100" s="89">
        <v>1</v>
      </c>
      <c r="AB100" s="256" t="s">
        <v>284</v>
      </c>
      <c r="AC100" s="256" t="s">
        <v>284</v>
      </c>
      <c r="AD100" s="256" t="s">
        <v>284</v>
      </c>
      <c r="AE100" s="256" t="s">
        <v>284</v>
      </c>
      <c r="AF100" s="89">
        <v>43</v>
      </c>
      <c r="AG100" s="89">
        <v>2</v>
      </c>
      <c r="AH100" s="90" t="s">
        <v>284</v>
      </c>
      <c r="AI100" s="89">
        <v>2</v>
      </c>
      <c r="AJ100" s="90" t="s">
        <v>284</v>
      </c>
      <c r="AK100" s="90" t="s">
        <v>284</v>
      </c>
      <c r="AL100" s="90" t="s">
        <v>284</v>
      </c>
    </row>
    <row r="101" spans="2:38" ht="15" customHeight="1">
      <c r="B101" s="137" t="s">
        <v>409</v>
      </c>
      <c r="C101" s="89">
        <v>748</v>
      </c>
      <c r="D101" s="225" t="s">
        <v>284</v>
      </c>
      <c r="E101" s="225">
        <v>10</v>
      </c>
      <c r="F101" s="89">
        <v>1</v>
      </c>
      <c r="G101" s="225">
        <v>164</v>
      </c>
      <c r="H101" s="89">
        <v>43</v>
      </c>
      <c r="I101" s="89">
        <v>50</v>
      </c>
      <c r="J101" s="225">
        <v>12</v>
      </c>
      <c r="K101" s="89">
        <v>11</v>
      </c>
      <c r="L101" s="89">
        <v>10</v>
      </c>
      <c r="M101" s="89">
        <v>6</v>
      </c>
      <c r="N101" s="89">
        <v>30</v>
      </c>
      <c r="O101" s="223">
        <v>22</v>
      </c>
      <c r="P101" s="90">
        <v>2</v>
      </c>
      <c r="Q101" s="49">
        <f t="shared" si="8"/>
        <v>220</v>
      </c>
      <c r="R101" s="223">
        <v>174</v>
      </c>
      <c r="S101" s="256">
        <v>9</v>
      </c>
      <c r="T101" s="223">
        <v>31</v>
      </c>
      <c r="U101" s="256">
        <v>2</v>
      </c>
      <c r="V101" s="49">
        <v>4</v>
      </c>
      <c r="W101" s="223">
        <v>11</v>
      </c>
      <c r="X101" s="223">
        <v>72</v>
      </c>
      <c r="Y101" s="256">
        <v>1</v>
      </c>
      <c r="Z101" s="256">
        <v>8</v>
      </c>
      <c r="AA101" s="89">
        <v>16</v>
      </c>
      <c r="AB101" s="256" t="s">
        <v>284</v>
      </c>
      <c r="AC101" s="256">
        <v>3</v>
      </c>
      <c r="AD101" s="256">
        <v>2</v>
      </c>
      <c r="AE101" s="256">
        <v>8</v>
      </c>
      <c r="AF101" s="89">
        <v>151</v>
      </c>
      <c r="AG101" s="89">
        <v>37</v>
      </c>
      <c r="AH101" s="89">
        <v>12</v>
      </c>
      <c r="AI101" s="89">
        <f t="shared" si="7"/>
        <v>25</v>
      </c>
      <c r="AJ101" s="89">
        <v>18</v>
      </c>
      <c r="AK101" s="90">
        <v>1</v>
      </c>
      <c r="AL101" s="90">
        <v>1</v>
      </c>
    </row>
    <row r="102" spans="2:38" ht="15" customHeight="1">
      <c r="B102" s="137" t="s">
        <v>410</v>
      </c>
      <c r="C102" s="89">
        <v>563</v>
      </c>
      <c r="D102" s="225" t="s">
        <v>284</v>
      </c>
      <c r="E102" s="225">
        <v>9</v>
      </c>
      <c r="F102" s="89">
        <v>5</v>
      </c>
      <c r="G102" s="225">
        <v>129</v>
      </c>
      <c r="H102" s="89">
        <v>39</v>
      </c>
      <c r="I102" s="89">
        <v>44</v>
      </c>
      <c r="J102" s="225">
        <v>8</v>
      </c>
      <c r="K102" s="89">
        <v>10</v>
      </c>
      <c r="L102" s="89">
        <v>5</v>
      </c>
      <c r="M102" s="89">
        <v>7</v>
      </c>
      <c r="N102" s="89">
        <v>16</v>
      </c>
      <c r="O102" s="223">
        <v>9</v>
      </c>
      <c r="P102" s="90" t="s">
        <v>284</v>
      </c>
      <c r="Q102" s="49">
        <f t="shared" si="8"/>
        <v>184</v>
      </c>
      <c r="R102" s="223">
        <v>142</v>
      </c>
      <c r="S102" s="256">
        <v>9</v>
      </c>
      <c r="T102" s="223">
        <v>24</v>
      </c>
      <c r="U102" s="223">
        <v>3</v>
      </c>
      <c r="V102" s="49">
        <v>6</v>
      </c>
      <c r="W102" s="223">
        <v>17</v>
      </c>
      <c r="X102" s="223">
        <v>42</v>
      </c>
      <c r="Y102" s="256">
        <v>1</v>
      </c>
      <c r="Z102" s="223">
        <v>7</v>
      </c>
      <c r="AA102" s="89">
        <v>12</v>
      </c>
      <c r="AB102" s="256" t="s">
        <v>284</v>
      </c>
      <c r="AC102" s="225">
        <v>4</v>
      </c>
      <c r="AD102" s="256">
        <v>1</v>
      </c>
      <c r="AE102" s="225">
        <v>1</v>
      </c>
      <c r="AF102" s="89">
        <v>112</v>
      </c>
      <c r="AG102" s="89">
        <v>15</v>
      </c>
      <c r="AH102" s="89">
        <v>6</v>
      </c>
      <c r="AI102" s="89">
        <f t="shared" si="7"/>
        <v>9</v>
      </c>
      <c r="AJ102" s="89">
        <v>6</v>
      </c>
      <c r="AK102" s="90">
        <v>2</v>
      </c>
      <c r="AL102" s="90">
        <v>7</v>
      </c>
    </row>
    <row r="103" spans="2:38" ht="15" customHeight="1">
      <c r="B103" s="137" t="s">
        <v>411</v>
      </c>
      <c r="C103" s="89">
        <v>741</v>
      </c>
      <c r="D103" s="225" t="s">
        <v>284</v>
      </c>
      <c r="E103" s="225">
        <v>5</v>
      </c>
      <c r="F103" s="89">
        <v>5</v>
      </c>
      <c r="G103" s="225">
        <v>177</v>
      </c>
      <c r="H103" s="89">
        <v>42</v>
      </c>
      <c r="I103" s="89">
        <v>61</v>
      </c>
      <c r="J103" s="225">
        <v>10</v>
      </c>
      <c r="K103" s="89">
        <v>19</v>
      </c>
      <c r="L103" s="89">
        <v>10</v>
      </c>
      <c r="M103" s="89">
        <v>7</v>
      </c>
      <c r="N103" s="89">
        <v>26</v>
      </c>
      <c r="O103" s="223">
        <v>17</v>
      </c>
      <c r="P103" s="90" t="s">
        <v>284</v>
      </c>
      <c r="Q103" s="49">
        <f t="shared" si="8"/>
        <v>217</v>
      </c>
      <c r="R103" s="223">
        <v>173</v>
      </c>
      <c r="S103" s="223">
        <v>7</v>
      </c>
      <c r="T103" s="223">
        <v>30</v>
      </c>
      <c r="U103" s="223">
        <v>3</v>
      </c>
      <c r="V103" s="49">
        <v>4</v>
      </c>
      <c r="W103" s="223">
        <v>19</v>
      </c>
      <c r="X103" s="223">
        <v>55</v>
      </c>
      <c r="Y103" s="256" t="s">
        <v>284</v>
      </c>
      <c r="Z103" s="223">
        <v>11</v>
      </c>
      <c r="AA103" s="89">
        <v>20</v>
      </c>
      <c r="AB103" s="256" t="s">
        <v>284</v>
      </c>
      <c r="AC103" s="225">
        <v>2</v>
      </c>
      <c r="AD103" s="256">
        <v>3</v>
      </c>
      <c r="AE103" s="225">
        <v>4</v>
      </c>
      <c r="AF103" s="89">
        <v>155</v>
      </c>
      <c r="AG103" s="89">
        <v>42</v>
      </c>
      <c r="AH103" s="89">
        <v>16</v>
      </c>
      <c r="AI103" s="89">
        <f t="shared" si="7"/>
        <v>26</v>
      </c>
      <c r="AJ103" s="89">
        <v>6</v>
      </c>
      <c r="AK103" s="90" t="s">
        <v>284</v>
      </c>
      <c r="AL103" s="90">
        <v>3</v>
      </c>
    </row>
    <row r="104" spans="2:38" ht="15" customHeight="1">
      <c r="B104" s="137"/>
      <c r="C104" s="89"/>
      <c r="D104" s="225"/>
      <c r="E104" s="225"/>
      <c r="F104" s="89"/>
      <c r="G104" s="225"/>
      <c r="H104" s="89"/>
      <c r="I104" s="89"/>
      <c r="J104" s="225"/>
      <c r="K104" s="89"/>
      <c r="L104" s="89"/>
      <c r="M104" s="89"/>
      <c r="N104" s="89"/>
      <c r="O104" s="223"/>
      <c r="P104" s="90"/>
      <c r="Q104" s="49"/>
      <c r="R104" s="223"/>
      <c r="S104" s="223"/>
      <c r="T104" s="223"/>
      <c r="U104" s="223"/>
      <c r="V104" s="49"/>
      <c r="W104" s="223"/>
      <c r="X104" s="223"/>
      <c r="Y104" s="256"/>
      <c r="Z104" s="223"/>
      <c r="AA104" s="89"/>
      <c r="AB104" s="256"/>
      <c r="AC104" s="225"/>
      <c r="AD104" s="256"/>
      <c r="AE104" s="225"/>
      <c r="AF104" s="89"/>
      <c r="AG104" s="89"/>
      <c r="AH104" s="89"/>
      <c r="AI104" s="89"/>
      <c r="AJ104" s="89"/>
      <c r="AK104" s="89"/>
      <c r="AL104" s="90"/>
    </row>
    <row r="105" spans="2:38" ht="15" customHeight="1">
      <c r="B105" s="137" t="s">
        <v>412</v>
      </c>
      <c r="C105" s="89">
        <v>2164</v>
      </c>
      <c r="D105" s="225" t="s">
        <v>284</v>
      </c>
      <c r="E105" s="225">
        <v>33</v>
      </c>
      <c r="F105" s="89">
        <v>20</v>
      </c>
      <c r="G105" s="225">
        <v>539</v>
      </c>
      <c r="H105" s="89">
        <v>122</v>
      </c>
      <c r="I105" s="89">
        <v>132</v>
      </c>
      <c r="J105" s="225">
        <v>49</v>
      </c>
      <c r="K105" s="89">
        <v>62</v>
      </c>
      <c r="L105" s="89">
        <v>30</v>
      </c>
      <c r="M105" s="89">
        <v>27</v>
      </c>
      <c r="N105" s="89">
        <v>106</v>
      </c>
      <c r="O105" s="223">
        <v>62</v>
      </c>
      <c r="P105" s="90">
        <v>5</v>
      </c>
      <c r="Q105" s="49">
        <f t="shared" si="8"/>
        <v>663</v>
      </c>
      <c r="R105" s="223">
        <v>493</v>
      </c>
      <c r="S105" s="223">
        <v>24</v>
      </c>
      <c r="T105" s="223">
        <v>119</v>
      </c>
      <c r="U105" s="223">
        <v>3</v>
      </c>
      <c r="V105" s="49">
        <v>24</v>
      </c>
      <c r="W105" s="223">
        <v>39</v>
      </c>
      <c r="X105" s="223">
        <v>102</v>
      </c>
      <c r="Y105" s="223">
        <v>7</v>
      </c>
      <c r="Z105" s="223">
        <v>31</v>
      </c>
      <c r="AA105" s="89">
        <v>32</v>
      </c>
      <c r="AB105" s="256" t="s">
        <v>284</v>
      </c>
      <c r="AC105" s="225">
        <v>8</v>
      </c>
      <c r="AD105" s="256">
        <v>9</v>
      </c>
      <c r="AE105" s="225">
        <v>19</v>
      </c>
      <c r="AF105" s="89">
        <v>416</v>
      </c>
      <c r="AG105" s="89">
        <v>131</v>
      </c>
      <c r="AH105" s="89">
        <v>21</v>
      </c>
      <c r="AI105" s="89">
        <f t="shared" si="7"/>
        <v>110</v>
      </c>
      <c r="AJ105" s="89">
        <v>32</v>
      </c>
      <c r="AK105" s="89">
        <v>8</v>
      </c>
      <c r="AL105" s="90">
        <v>8</v>
      </c>
    </row>
    <row r="106" spans="2:38" ht="15" customHeight="1">
      <c r="B106" s="137" t="s">
        <v>413</v>
      </c>
      <c r="C106" s="89">
        <v>17984</v>
      </c>
      <c r="D106" s="225">
        <v>3</v>
      </c>
      <c r="E106" s="225">
        <v>308</v>
      </c>
      <c r="F106" s="89">
        <v>246</v>
      </c>
      <c r="G106" s="225">
        <v>3764</v>
      </c>
      <c r="H106" s="89">
        <v>1014</v>
      </c>
      <c r="I106" s="89">
        <v>1136</v>
      </c>
      <c r="J106" s="225">
        <v>279</v>
      </c>
      <c r="K106" s="89">
        <v>400</v>
      </c>
      <c r="L106" s="89">
        <v>193</v>
      </c>
      <c r="M106" s="89">
        <v>121</v>
      </c>
      <c r="N106" s="89">
        <v>557</v>
      </c>
      <c r="O106" s="223">
        <v>556</v>
      </c>
      <c r="P106" s="90">
        <v>37</v>
      </c>
      <c r="Q106" s="49">
        <f t="shared" si="8"/>
        <v>6362</v>
      </c>
      <c r="R106" s="223">
        <v>5194</v>
      </c>
      <c r="S106" s="223">
        <v>235</v>
      </c>
      <c r="T106" s="223">
        <v>732</v>
      </c>
      <c r="U106" s="223">
        <v>47</v>
      </c>
      <c r="V106" s="49">
        <v>154</v>
      </c>
      <c r="W106" s="223">
        <v>391</v>
      </c>
      <c r="X106" s="223">
        <v>946</v>
      </c>
      <c r="Y106" s="223">
        <v>15</v>
      </c>
      <c r="Z106" s="223">
        <v>196</v>
      </c>
      <c r="AA106" s="89">
        <v>361</v>
      </c>
      <c r="AB106" s="256">
        <v>10</v>
      </c>
      <c r="AC106" s="225">
        <v>53</v>
      </c>
      <c r="AD106" s="256">
        <v>121</v>
      </c>
      <c r="AE106" s="225">
        <v>198</v>
      </c>
      <c r="AF106" s="89">
        <v>2987</v>
      </c>
      <c r="AG106" s="89">
        <v>839</v>
      </c>
      <c r="AH106" s="89">
        <v>194</v>
      </c>
      <c r="AI106" s="89">
        <f t="shared" si="7"/>
        <v>645</v>
      </c>
      <c r="AJ106" s="89">
        <v>207</v>
      </c>
      <c r="AK106" s="89">
        <v>351</v>
      </c>
      <c r="AL106" s="90">
        <v>33</v>
      </c>
    </row>
    <row r="107" spans="2:38" ht="15" customHeight="1">
      <c r="B107" s="137" t="s">
        <v>414</v>
      </c>
      <c r="C107" s="89">
        <v>375</v>
      </c>
      <c r="D107" s="225" t="s">
        <v>284</v>
      </c>
      <c r="E107" s="225">
        <v>1</v>
      </c>
      <c r="F107" s="89">
        <v>2</v>
      </c>
      <c r="G107" s="225">
        <v>95</v>
      </c>
      <c r="H107" s="89">
        <v>23</v>
      </c>
      <c r="I107" s="89">
        <v>28</v>
      </c>
      <c r="J107" s="225">
        <v>6</v>
      </c>
      <c r="K107" s="89">
        <v>7</v>
      </c>
      <c r="L107" s="89">
        <v>7</v>
      </c>
      <c r="M107" s="89">
        <v>6</v>
      </c>
      <c r="N107" s="89">
        <v>16</v>
      </c>
      <c r="O107" s="223">
        <v>13</v>
      </c>
      <c r="P107" s="90">
        <v>1</v>
      </c>
      <c r="Q107" s="49">
        <f t="shared" si="8"/>
        <v>108</v>
      </c>
      <c r="R107" s="223">
        <v>83</v>
      </c>
      <c r="S107" s="223">
        <v>1</v>
      </c>
      <c r="T107" s="223">
        <v>18</v>
      </c>
      <c r="U107" s="223">
        <v>1</v>
      </c>
      <c r="V107" s="49">
        <v>5</v>
      </c>
      <c r="W107" s="223">
        <v>4</v>
      </c>
      <c r="X107" s="223">
        <v>30</v>
      </c>
      <c r="Y107" s="256" t="s">
        <v>284</v>
      </c>
      <c r="Z107" s="223">
        <v>4</v>
      </c>
      <c r="AA107" s="89">
        <v>7</v>
      </c>
      <c r="AB107" s="256" t="s">
        <v>284</v>
      </c>
      <c r="AC107" s="225">
        <v>4</v>
      </c>
      <c r="AD107" s="256">
        <v>1</v>
      </c>
      <c r="AE107" s="225">
        <v>1</v>
      </c>
      <c r="AF107" s="89">
        <v>80</v>
      </c>
      <c r="AG107" s="89">
        <v>19</v>
      </c>
      <c r="AH107" s="89">
        <v>10</v>
      </c>
      <c r="AI107" s="89">
        <f t="shared" si="7"/>
        <v>9</v>
      </c>
      <c r="AJ107" s="89">
        <v>4</v>
      </c>
      <c r="AK107" s="90" t="s">
        <v>284</v>
      </c>
      <c r="AL107" s="90">
        <v>1</v>
      </c>
    </row>
    <row r="108" spans="2:38" ht="15" customHeight="1">
      <c r="B108" s="83" t="s">
        <v>415</v>
      </c>
      <c r="C108" s="89">
        <v>8</v>
      </c>
      <c r="D108" s="225" t="s">
        <v>284</v>
      </c>
      <c r="E108" s="225" t="s">
        <v>284</v>
      </c>
      <c r="F108" s="89">
        <v>2</v>
      </c>
      <c r="G108" s="225">
        <v>7</v>
      </c>
      <c r="H108" s="89">
        <v>3</v>
      </c>
      <c r="I108" s="89">
        <v>3</v>
      </c>
      <c r="J108" s="225" t="s">
        <v>284</v>
      </c>
      <c r="K108" s="89" t="s">
        <v>284</v>
      </c>
      <c r="L108" s="89" t="s">
        <v>284</v>
      </c>
      <c r="M108" s="89">
        <v>1</v>
      </c>
      <c r="N108" s="89" t="s">
        <v>284</v>
      </c>
      <c r="O108" s="89" t="s">
        <v>284</v>
      </c>
      <c r="P108" s="90" t="s">
        <v>284</v>
      </c>
      <c r="Q108" s="49">
        <f t="shared" si="8"/>
        <v>6</v>
      </c>
      <c r="R108" s="223">
        <v>5</v>
      </c>
      <c r="S108" s="256">
        <v>1</v>
      </c>
      <c r="T108" s="256" t="s">
        <v>284</v>
      </c>
      <c r="U108" s="256" t="s">
        <v>284</v>
      </c>
      <c r="V108" s="49"/>
      <c r="W108" s="256" t="s">
        <v>284</v>
      </c>
      <c r="X108" s="256">
        <v>2</v>
      </c>
      <c r="Y108" s="256" t="s">
        <v>284</v>
      </c>
      <c r="Z108" s="256">
        <v>10</v>
      </c>
      <c r="AA108" s="90" t="s">
        <v>284</v>
      </c>
      <c r="AB108" s="256" t="s">
        <v>284</v>
      </c>
      <c r="AC108" s="256">
        <v>1</v>
      </c>
      <c r="AD108" s="256">
        <v>1</v>
      </c>
      <c r="AE108" s="256">
        <v>1</v>
      </c>
      <c r="AF108" s="89">
        <v>5</v>
      </c>
      <c r="AG108" s="89">
        <v>1</v>
      </c>
      <c r="AH108" s="90" t="s">
        <v>284</v>
      </c>
      <c r="AI108" s="89">
        <v>1</v>
      </c>
      <c r="AJ108" s="89">
        <v>3</v>
      </c>
      <c r="AK108" s="90" t="s">
        <v>284</v>
      </c>
      <c r="AL108" s="90">
        <v>1</v>
      </c>
    </row>
    <row r="109" spans="2:38" ht="15" customHeight="1">
      <c r="B109" s="65"/>
      <c r="C109" s="65"/>
      <c r="D109" s="235"/>
      <c r="E109" s="235"/>
      <c r="F109" s="65"/>
      <c r="G109" s="235"/>
      <c r="H109" s="65"/>
      <c r="I109" s="65"/>
      <c r="J109" s="235"/>
      <c r="K109" s="65"/>
      <c r="L109" s="65"/>
      <c r="M109" s="65"/>
      <c r="N109" s="65"/>
      <c r="O109" s="65"/>
      <c r="P109" s="138"/>
      <c r="Q109" s="68"/>
      <c r="R109" s="257"/>
      <c r="S109" s="257"/>
      <c r="T109" s="258"/>
      <c r="U109" s="257"/>
      <c r="V109" s="138"/>
      <c r="W109" s="257"/>
      <c r="X109" s="257"/>
      <c r="Y109" s="257"/>
      <c r="Z109" s="257"/>
      <c r="AA109" s="138"/>
      <c r="AB109" s="257"/>
      <c r="AC109" s="257"/>
      <c r="AD109" s="257"/>
      <c r="AE109" s="257"/>
      <c r="AF109" s="93"/>
      <c r="AG109" s="93"/>
      <c r="AH109" s="138"/>
      <c r="AI109" s="93"/>
      <c r="AJ109" s="138"/>
      <c r="AK109" s="93"/>
      <c r="AL109" s="138"/>
    </row>
    <row r="110" spans="2:38" ht="15" customHeight="1"/>
    <row r="111" spans="2:38" ht="15" customHeight="1">
      <c r="B111" s="334"/>
      <c r="C111" s="335"/>
      <c r="D111" s="335"/>
      <c r="E111" s="335"/>
      <c r="F111" s="335"/>
      <c r="G111" s="335"/>
      <c r="H111" s="335"/>
      <c r="I111" s="335"/>
      <c r="J111" s="335"/>
      <c r="K111" s="335"/>
      <c r="L111" s="335"/>
      <c r="M111" s="335"/>
      <c r="N111" s="335"/>
    </row>
    <row r="112" spans="2:38" ht="15" customHeight="1">
      <c r="C112" s="259"/>
      <c r="D112" s="259"/>
      <c r="E112" s="264"/>
      <c r="F112" s="259"/>
      <c r="G112" s="259"/>
      <c r="H112" s="259"/>
      <c r="I112" s="259"/>
      <c r="J112" s="259"/>
      <c r="K112" s="259"/>
      <c r="L112" s="259"/>
      <c r="M112" s="259"/>
      <c r="N112" s="259"/>
    </row>
    <row r="113" spans="2:14" ht="15" customHeight="1">
      <c r="B113" s="288" t="s">
        <v>627</v>
      </c>
      <c r="C113" s="288"/>
      <c r="D113" s="288"/>
      <c r="E113" s="288"/>
      <c r="F113" s="288"/>
      <c r="G113" s="288"/>
      <c r="H113" s="288"/>
      <c r="I113" s="288"/>
      <c r="J113" s="288"/>
      <c r="K113" s="288"/>
      <c r="L113" s="288"/>
      <c r="M113" s="288"/>
      <c r="N113" s="288"/>
    </row>
    <row r="114" spans="2:14" ht="15" customHeight="1">
      <c r="B114" s="288"/>
      <c r="C114" s="288"/>
      <c r="D114" s="288"/>
      <c r="E114" s="288"/>
      <c r="F114" s="288"/>
      <c r="G114" s="288"/>
      <c r="H114" s="288"/>
      <c r="I114" s="288"/>
      <c r="J114" s="288"/>
      <c r="K114" s="288"/>
      <c r="L114" s="288"/>
      <c r="M114" s="288"/>
      <c r="N114" s="288"/>
    </row>
    <row r="115" spans="2:14" ht="15" customHeight="1">
      <c r="B115" s="288"/>
      <c r="C115" s="288"/>
      <c r="D115" s="288"/>
      <c r="E115" s="288"/>
      <c r="F115" s="288"/>
      <c r="G115" s="288"/>
      <c r="H115" s="288"/>
      <c r="I115" s="288"/>
      <c r="J115" s="288"/>
      <c r="K115" s="288"/>
      <c r="L115" s="288"/>
      <c r="M115" s="288"/>
      <c r="N115" s="288"/>
    </row>
    <row r="116" spans="2:14" ht="15" customHeight="1">
      <c r="B116" s="288"/>
      <c r="C116" s="288"/>
      <c r="D116" s="288"/>
      <c r="E116" s="288"/>
      <c r="F116" s="288"/>
      <c r="G116" s="288"/>
      <c r="H116" s="288"/>
      <c r="I116" s="288"/>
      <c r="J116" s="288"/>
      <c r="K116" s="288"/>
      <c r="L116" s="288"/>
      <c r="M116" s="288"/>
      <c r="N116" s="288"/>
    </row>
    <row r="117" spans="2:14" ht="15" customHeight="1">
      <c r="B117" s="14" t="s">
        <v>619</v>
      </c>
    </row>
    <row r="118" spans="2:14" ht="15" customHeight="1">
      <c r="B118" s="14"/>
    </row>
    <row r="119" spans="2:14" ht="15">
      <c r="B119" s="14" t="s">
        <v>620</v>
      </c>
    </row>
    <row r="120" spans="2:14" ht="15">
      <c r="B120" s="2" t="s">
        <v>621</v>
      </c>
    </row>
    <row r="121" spans="2:14" ht="15">
      <c r="B121" s="2" t="s">
        <v>622</v>
      </c>
    </row>
    <row r="122" spans="2:14" ht="15">
      <c r="B122" s="2" t="s">
        <v>623</v>
      </c>
    </row>
    <row r="123" spans="2:14" ht="15">
      <c r="B123" s="2" t="s">
        <v>624</v>
      </c>
    </row>
    <row r="124" spans="2:14" ht="15">
      <c r="B124" s="2" t="s">
        <v>625</v>
      </c>
    </row>
    <row r="125" spans="2:14" ht="15">
      <c r="B125" s="2" t="s">
        <v>626</v>
      </c>
    </row>
    <row r="126" spans="2:14" ht="15"/>
    <row r="127" spans="2:14" ht="15">
      <c r="B127" s="260" t="s">
        <v>612</v>
      </c>
    </row>
  </sheetData>
  <mergeCells count="22">
    <mergeCell ref="B111:N111"/>
    <mergeCell ref="B5:B6"/>
    <mergeCell ref="C5:C6"/>
    <mergeCell ref="D5:D6"/>
    <mergeCell ref="F5:F6"/>
    <mergeCell ref="E5:E6"/>
    <mergeCell ref="B113:N116"/>
    <mergeCell ref="AJ5:AJ6"/>
    <mergeCell ref="AK5:AK6"/>
    <mergeCell ref="AL5:AL6"/>
    <mergeCell ref="AC5:AC6"/>
    <mergeCell ref="AD5:AD6"/>
    <mergeCell ref="AE5:AE6"/>
    <mergeCell ref="AF5:AF6"/>
    <mergeCell ref="Y5:Y6"/>
    <mergeCell ref="Z5:Z6"/>
    <mergeCell ref="AA5:AA6"/>
    <mergeCell ref="AB5:AB6"/>
    <mergeCell ref="O5:O6"/>
    <mergeCell ref="P5:P6"/>
    <mergeCell ref="W5:W6"/>
    <mergeCell ref="X5:X6"/>
  </mergeCells>
  <phoneticPr fontId="10" type="noConversion"/>
  <pageMargins left="0.75" right="0.75" top="1" bottom="1" header="0.5" footer="0.5"/>
  <pageSetup orientation="portrait" r:id="rId1"/>
  <headerFooter alignWithMargins="0"/>
  <ignoredErrors>
    <ignoredError sqref="AI7 Q7" formula="1"/>
    <ignoredError sqref="Q11:Q12 Q16 Q18 Q21:Q25 Q30 Q33:Q35 Q37 Q40:Q43 Q45:Q48 Q53:Q54 Q57 Q59:Q60 Q63:Q64 Q67 Q70 Q75 Q77:Q78 Q81 Q83 Q88 Q91 Q96 Q99 Q101:Q103 Q105:Q10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
  <sheetViews>
    <sheetView workbookViewId="0"/>
  </sheetViews>
  <sheetFormatPr defaultRowHeight="15"/>
  <cols>
    <col min="1" max="1" width="4.33203125" style="2" customWidth="1"/>
    <col min="2" max="2" width="13.83203125" style="2" customWidth="1"/>
    <col min="3" max="9" width="14.33203125" style="2" bestFit="1" customWidth="1"/>
    <col min="10" max="11" width="12" style="2" bestFit="1" customWidth="1"/>
    <col min="12" max="14" width="10.5" style="2" bestFit="1" customWidth="1"/>
    <col min="15" max="17" width="12" style="2" bestFit="1" customWidth="1"/>
    <col min="18" max="16384" width="9.33203125" style="2"/>
  </cols>
  <sheetData>
    <row r="1" spans="2:17" ht="18">
      <c r="B1" s="338" t="s">
        <v>541</v>
      </c>
      <c r="C1" s="338"/>
      <c r="D1" s="338"/>
      <c r="E1" s="338"/>
      <c r="F1" s="338"/>
      <c r="G1" s="338"/>
      <c r="H1" s="338"/>
      <c r="I1" s="338"/>
      <c r="J1" s="338"/>
      <c r="K1" s="338"/>
      <c r="L1" s="338"/>
      <c r="M1" s="338"/>
      <c r="N1" s="338"/>
      <c r="O1" s="338"/>
      <c r="P1" s="338"/>
      <c r="Q1" s="338"/>
    </row>
    <row r="2" spans="2:17" ht="18">
      <c r="B2" s="274" t="s">
        <v>542</v>
      </c>
      <c r="C2" s="4"/>
      <c r="D2" s="4"/>
      <c r="E2" s="4"/>
      <c r="F2" s="4"/>
      <c r="G2" s="4"/>
      <c r="H2" s="4"/>
      <c r="I2" s="4"/>
      <c r="J2" s="4"/>
      <c r="K2" s="4"/>
      <c r="L2" s="4"/>
      <c r="M2" s="4"/>
      <c r="N2" s="4"/>
      <c r="O2" s="4"/>
      <c r="P2" s="4"/>
      <c r="Q2" s="4"/>
    </row>
    <row r="3" spans="2:17" ht="18">
      <c r="B3" s="274" t="s">
        <v>543</v>
      </c>
      <c r="C3" s="4"/>
      <c r="D3" s="4"/>
      <c r="E3" s="4"/>
      <c r="F3" s="4"/>
      <c r="G3" s="4"/>
      <c r="H3" s="4"/>
      <c r="I3" s="4"/>
      <c r="J3" s="4"/>
      <c r="K3" s="4"/>
      <c r="L3" s="4"/>
      <c r="M3" s="4"/>
      <c r="N3" s="4"/>
      <c r="O3" s="4"/>
      <c r="P3" s="4"/>
      <c r="Q3" s="4"/>
    </row>
    <row r="4" spans="2:17" ht="18">
      <c r="B4" s="274">
        <v>2013</v>
      </c>
      <c r="C4" s="4"/>
      <c r="D4" s="4"/>
      <c r="E4" s="4"/>
      <c r="F4" s="4"/>
      <c r="G4" s="4"/>
      <c r="H4" s="4"/>
      <c r="I4" s="4"/>
      <c r="J4" s="4"/>
      <c r="K4" s="4"/>
      <c r="L4" s="4"/>
      <c r="M4" s="4"/>
      <c r="N4" s="4"/>
      <c r="O4" s="4"/>
      <c r="P4" s="4"/>
      <c r="Q4" s="4"/>
    </row>
    <row r="5" spans="2:17" ht="24.95" customHeight="1">
      <c r="B5" s="339" t="s">
        <v>549</v>
      </c>
      <c r="C5" s="341" t="s">
        <v>544</v>
      </c>
      <c r="D5" s="342"/>
      <c r="E5" s="343"/>
      <c r="F5" s="341" t="s">
        <v>545</v>
      </c>
      <c r="G5" s="342"/>
      <c r="H5" s="343"/>
      <c r="I5" s="341" t="s">
        <v>546</v>
      </c>
      <c r="J5" s="342"/>
      <c r="K5" s="343"/>
      <c r="L5" s="341" t="s">
        <v>547</v>
      </c>
      <c r="M5" s="342"/>
      <c r="N5" s="343"/>
      <c r="O5" s="341" t="s">
        <v>548</v>
      </c>
      <c r="P5" s="342"/>
      <c r="Q5" s="343"/>
    </row>
    <row r="6" spans="2:17" ht="24.95" customHeight="1">
      <c r="B6" s="340"/>
      <c r="C6" s="122" t="s">
        <v>435</v>
      </c>
      <c r="D6" s="122" t="s">
        <v>550</v>
      </c>
      <c r="E6" s="111" t="s">
        <v>551</v>
      </c>
      <c r="F6" s="122" t="s">
        <v>435</v>
      </c>
      <c r="G6" s="122" t="s">
        <v>550</v>
      </c>
      <c r="H6" s="111" t="s">
        <v>551</v>
      </c>
      <c r="I6" s="122" t="s">
        <v>435</v>
      </c>
      <c r="J6" s="122" t="s">
        <v>550</v>
      </c>
      <c r="K6" s="111" t="s">
        <v>551</v>
      </c>
      <c r="L6" s="122" t="s">
        <v>435</v>
      </c>
      <c r="M6" s="122" t="s">
        <v>550</v>
      </c>
      <c r="N6" s="111" t="s">
        <v>551</v>
      </c>
      <c r="O6" s="122" t="s">
        <v>435</v>
      </c>
      <c r="P6" s="122" t="s">
        <v>550</v>
      </c>
      <c r="Q6" s="111" t="s">
        <v>551</v>
      </c>
    </row>
    <row r="7" spans="2:17" ht="13.5" customHeight="1">
      <c r="B7" s="11"/>
      <c r="C7" s="56"/>
      <c r="D7" s="56"/>
      <c r="E7" s="139"/>
      <c r="F7" s="56"/>
      <c r="G7" s="56"/>
      <c r="H7" s="139"/>
      <c r="I7" s="56"/>
      <c r="J7" s="56"/>
      <c r="K7" s="139"/>
      <c r="L7" s="56"/>
      <c r="M7" s="56"/>
      <c r="N7" s="139"/>
      <c r="O7" s="56"/>
      <c r="P7" s="56"/>
      <c r="Q7" s="139"/>
    </row>
    <row r="8" spans="2:17" ht="24.95" customHeight="1">
      <c r="B8" s="56" t="s">
        <v>552</v>
      </c>
      <c r="C8" s="49">
        <v>112871</v>
      </c>
      <c r="D8" s="49">
        <v>57770</v>
      </c>
      <c r="E8" s="140">
        <v>55101</v>
      </c>
      <c r="F8" s="49">
        <v>84448</v>
      </c>
      <c r="G8" s="49">
        <v>43214</v>
      </c>
      <c r="H8" s="140">
        <v>41234</v>
      </c>
      <c r="I8" s="49">
        <v>23124</v>
      </c>
      <c r="J8" s="49">
        <v>11875</v>
      </c>
      <c r="K8" s="140">
        <v>11249</v>
      </c>
      <c r="L8" s="49">
        <v>1333</v>
      </c>
      <c r="M8" s="49">
        <v>681</v>
      </c>
      <c r="N8" s="140">
        <v>652</v>
      </c>
      <c r="O8" s="49">
        <v>3966</v>
      </c>
      <c r="P8" s="49">
        <v>2000</v>
      </c>
      <c r="Q8" s="140">
        <v>1966</v>
      </c>
    </row>
    <row r="9" spans="2:17" ht="24.95" customHeight="1">
      <c r="B9" s="141" t="s">
        <v>553</v>
      </c>
      <c r="C9" s="49">
        <v>459897</v>
      </c>
      <c r="D9" s="49">
        <v>235467</v>
      </c>
      <c r="E9" s="140">
        <v>224430</v>
      </c>
      <c r="F9" s="49">
        <v>344725</v>
      </c>
      <c r="G9" s="49">
        <v>176680</v>
      </c>
      <c r="H9" s="140">
        <v>168045</v>
      </c>
      <c r="I9" s="49">
        <v>93031</v>
      </c>
      <c r="J9" s="49">
        <v>47620</v>
      </c>
      <c r="K9" s="140">
        <v>45411</v>
      </c>
      <c r="L9" s="49">
        <v>5405</v>
      </c>
      <c r="M9" s="49">
        <v>2781</v>
      </c>
      <c r="N9" s="140">
        <v>2624</v>
      </c>
      <c r="O9" s="49">
        <v>16736</v>
      </c>
      <c r="P9" s="49">
        <v>8386</v>
      </c>
      <c r="Q9" s="140">
        <v>8350</v>
      </c>
    </row>
    <row r="10" spans="2:17" ht="24.95" customHeight="1">
      <c r="B10" s="141" t="s">
        <v>554</v>
      </c>
      <c r="C10" s="49">
        <v>614368</v>
      </c>
      <c r="D10" s="49">
        <v>314101</v>
      </c>
      <c r="E10" s="140">
        <v>300267</v>
      </c>
      <c r="F10" s="49">
        <v>470564</v>
      </c>
      <c r="G10" s="49">
        <v>240740</v>
      </c>
      <c r="H10" s="140">
        <v>229824</v>
      </c>
      <c r="I10" s="49">
        <v>113924</v>
      </c>
      <c r="J10" s="49">
        <v>58250</v>
      </c>
      <c r="K10" s="140">
        <v>55674</v>
      </c>
      <c r="L10" s="49">
        <v>7077</v>
      </c>
      <c r="M10" s="49">
        <v>3595</v>
      </c>
      <c r="N10" s="140">
        <v>3482</v>
      </c>
      <c r="O10" s="49">
        <v>22803</v>
      </c>
      <c r="P10" s="49">
        <v>11516</v>
      </c>
      <c r="Q10" s="140">
        <v>11287</v>
      </c>
    </row>
    <row r="11" spans="2:17" ht="24.95" customHeight="1">
      <c r="B11" s="142" t="s">
        <v>265</v>
      </c>
      <c r="C11" s="49">
        <v>651646</v>
      </c>
      <c r="D11" s="49">
        <v>333328</v>
      </c>
      <c r="E11" s="140">
        <v>318318</v>
      </c>
      <c r="F11" s="49">
        <v>505267</v>
      </c>
      <c r="G11" s="49">
        <v>259228</v>
      </c>
      <c r="H11" s="140">
        <v>246039</v>
      </c>
      <c r="I11" s="49">
        <v>116657</v>
      </c>
      <c r="J11" s="49">
        <v>59356</v>
      </c>
      <c r="K11" s="140">
        <v>57301</v>
      </c>
      <c r="L11" s="49">
        <v>7320</v>
      </c>
      <c r="M11" s="49">
        <v>3678</v>
      </c>
      <c r="N11" s="140">
        <v>3642</v>
      </c>
      <c r="O11" s="49">
        <v>22402</v>
      </c>
      <c r="P11" s="49">
        <v>11066</v>
      </c>
      <c r="Q11" s="140">
        <v>11336</v>
      </c>
    </row>
    <row r="12" spans="2:17" ht="24.95" customHeight="1">
      <c r="B12" s="141" t="s">
        <v>266</v>
      </c>
      <c r="C12" s="49">
        <f>406419+279075</f>
        <v>685494</v>
      </c>
      <c r="D12" s="49">
        <f>208067+143299</f>
        <v>351366</v>
      </c>
      <c r="E12" s="140">
        <f>198352+135776</f>
        <v>334128</v>
      </c>
      <c r="F12" s="49">
        <f>316223+215351</f>
        <v>531574</v>
      </c>
      <c r="G12" s="49">
        <f>162298+110733</f>
        <v>273031</v>
      </c>
      <c r="H12" s="140">
        <f>153925+104618</f>
        <v>258543</v>
      </c>
      <c r="I12" s="49">
        <f>73160+51266</f>
        <v>124426</v>
      </c>
      <c r="J12" s="49">
        <f>37118+26099</f>
        <v>63217</v>
      </c>
      <c r="K12" s="140">
        <f>36042+25167</f>
        <v>61209</v>
      </c>
      <c r="L12" s="49">
        <f>4577+3205</f>
        <v>7782</v>
      </c>
      <c r="M12" s="49">
        <f>2286+1610</f>
        <v>3896</v>
      </c>
      <c r="N12" s="140">
        <f>2291+1595</f>
        <v>3886</v>
      </c>
      <c r="O12" s="49">
        <f>12459+9253</f>
        <v>21712</v>
      </c>
      <c r="P12" s="49">
        <f>6365+4857</f>
        <v>11222</v>
      </c>
      <c r="Q12" s="140">
        <f>6094+4396</f>
        <v>10490</v>
      </c>
    </row>
    <row r="13" spans="2:17" ht="24.95" customHeight="1">
      <c r="B13" s="141" t="s">
        <v>267</v>
      </c>
      <c r="C13" s="49">
        <v>725829</v>
      </c>
      <c r="D13" s="49">
        <v>368008</v>
      </c>
      <c r="E13" s="140">
        <v>357821</v>
      </c>
      <c r="F13" s="49">
        <v>551932</v>
      </c>
      <c r="G13" s="49">
        <v>280822</v>
      </c>
      <c r="H13" s="140">
        <v>271110</v>
      </c>
      <c r="I13" s="49">
        <v>138820</v>
      </c>
      <c r="J13" s="49">
        <v>69178</v>
      </c>
      <c r="K13" s="140">
        <v>69642</v>
      </c>
      <c r="L13" s="49">
        <v>7840</v>
      </c>
      <c r="M13" s="49">
        <v>3937</v>
      </c>
      <c r="N13" s="140">
        <v>3903</v>
      </c>
      <c r="O13" s="49">
        <v>27237</v>
      </c>
      <c r="P13" s="49">
        <v>14071</v>
      </c>
      <c r="Q13" s="140">
        <v>13166</v>
      </c>
    </row>
    <row r="14" spans="2:17" ht="24.95" customHeight="1">
      <c r="B14" s="141" t="s">
        <v>268</v>
      </c>
      <c r="C14" s="49">
        <v>594574</v>
      </c>
      <c r="D14" s="49">
        <v>300226</v>
      </c>
      <c r="E14" s="140">
        <v>294348</v>
      </c>
      <c r="F14" s="49">
        <v>468925</v>
      </c>
      <c r="G14" s="49">
        <v>238885</v>
      </c>
      <c r="H14" s="140">
        <v>230040</v>
      </c>
      <c r="I14" s="49">
        <v>96806</v>
      </c>
      <c r="J14" s="49">
        <v>47043</v>
      </c>
      <c r="K14" s="140">
        <v>49763</v>
      </c>
      <c r="L14" s="49">
        <v>5730</v>
      </c>
      <c r="M14" s="49">
        <v>2919</v>
      </c>
      <c r="N14" s="140">
        <v>2811</v>
      </c>
      <c r="O14" s="49">
        <v>23113</v>
      </c>
      <c r="P14" s="49">
        <v>11379</v>
      </c>
      <c r="Q14" s="140">
        <v>11734</v>
      </c>
    </row>
    <row r="15" spans="2:17" ht="24.95" customHeight="1">
      <c r="B15" s="141" t="s">
        <v>269</v>
      </c>
      <c r="C15" s="49">
        <v>591507</v>
      </c>
      <c r="D15" s="49">
        <v>294158</v>
      </c>
      <c r="E15" s="140">
        <v>297349</v>
      </c>
      <c r="F15" s="49">
        <v>471265</v>
      </c>
      <c r="G15" s="49">
        <v>237462</v>
      </c>
      <c r="H15" s="140">
        <v>233803</v>
      </c>
      <c r="I15" s="49">
        <v>90037</v>
      </c>
      <c r="J15" s="49">
        <v>42581</v>
      </c>
      <c r="K15" s="140">
        <v>47456</v>
      </c>
      <c r="L15" s="49">
        <v>5612</v>
      </c>
      <c r="M15" s="49">
        <v>2772</v>
      </c>
      <c r="N15" s="140">
        <v>2840</v>
      </c>
      <c r="O15" s="49">
        <v>24593</v>
      </c>
      <c r="P15" s="49">
        <v>11343</v>
      </c>
      <c r="Q15" s="140">
        <v>13250</v>
      </c>
    </row>
    <row r="16" spans="2:17" ht="24.95" customHeight="1">
      <c r="B16" s="141" t="s">
        <v>270</v>
      </c>
      <c r="C16" s="49">
        <v>562527</v>
      </c>
      <c r="D16" s="49">
        <v>278989</v>
      </c>
      <c r="E16" s="140">
        <v>283538</v>
      </c>
      <c r="F16" s="49">
        <v>444070</v>
      </c>
      <c r="G16" s="49">
        <v>223438</v>
      </c>
      <c r="H16" s="140">
        <v>220632</v>
      </c>
      <c r="I16" s="49">
        <v>88451</v>
      </c>
      <c r="J16" s="49">
        <v>41255</v>
      </c>
      <c r="K16" s="140">
        <v>47196</v>
      </c>
      <c r="L16" s="49">
        <v>5425</v>
      </c>
      <c r="M16" s="49">
        <v>2691</v>
      </c>
      <c r="N16" s="140">
        <v>2734</v>
      </c>
      <c r="O16" s="49">
        <v>24581</v>
      </c>
      <c r="P16" s="49">
        <v>11605</v>
      </c>
      <c r="Q16" s="140">
        <v>12976</v>
      </c>
    </row>
    <row r="17" spans="2:17" ht="24.95" customHeight="1">
      <c r="B17" s="141" t="s">
        <v>271</v>
      </c>
      <c r="C17" s="49">
        <v>639994</v>
      </c>
      <c r="D17" s="49">
        <v>316752</v>
      </c>
      <c r="E17" s="140">
        <v>323242</v>
      </c>
      <c r="F17" s="49">
        <v>510196</v>
      </c>
      <c r="G17" s="49">
        <v>256195</v>
      </c>
      <c r="H17" s="140">
        <v>254001</v>
      </c>
      <c r="I17" s="49">
        <v>99357</v>
      </c>
      <c r="J17" s="49">
        <v>46030</v>
      </c>
      <c r="K17" s="140">
        <v>53327</v>
      </c>
      <c r="L17" s="49">
        <v>5945</v>
      </c>
      <c r="M17" s="49">
        <v>2891</v>
      </c>
      <c r="N17" s="140">
        <v>3054</v>
      </c>
      <c r="O17" s="49">
        <v>24496</v>
      </c>
      <c r="P17" s="49">
        <v>11636</v>
      </c>
      <c r="Q17" s="140">
        <v>12860</v>
      </c>
    </row>
    <row r="18" spans="2:17" ht="24.95" customHeight="1">
      <c r="B18" s="141" t="s">
        <v>555</v>
      </c>
      <c r="C18" s="49">
        <v>677691</v>
      </c>
      <c r="D18" s="49">
        <v>335564</v>
      </c>
      <c r="E18" s="140">
        <v>342127</v>
      </c>
      <c r="F18" s="49">
        <v>559376</v>
      </c>
      <c r="G18" s="49">
        <v>279516</v>
      </c>
      <c r="H18" s="140">
        <v>279860</v>
      </c>
      <c r="I18" s="49">
        <v>92565</v>
      </c>
      <c r="J18" s="49">
        <v>43303</v>
      </c>
      <c r="K18" s="140">
        <v>49262</v>
      </c>
      <c r="L18" s="49">
        <v>5928</v>
      </c>
      <c r="M18" s="49">
        <v>2943</v>
      </c>
      <c r="N18" s="140">
        <v>2985</v>
      </c>
      <c r="O18" s="49">
        <v>19822</v>
      </c>
      <c r="P18" s="49">
        <v>9802</v>
      </c>
      <c r="Q18" s="140">
        <v>10020</v>
      </c>
    </row>
    <row r="19" spans="2:17" ht="24.95" customHeight="1">
      <c r="B19" s="141" t="s">
        <v>556</v>
      </c>
      <c r="C19" s="49">
        <v>744323</v>
      </c>
      <c r="D19" s="49">
        <v>366340</v>
      </c>
      <c r="E19" s="140">
        <v>377983</v>
      </c>
      <c r="F19" s="49">
        <v>629175</v>
      </c>
      <c r="G19" s="49">
        <v>312582</v>
      </c>
      <c r="H19" s="140">
        <v>316593</v>
      </c>
      <c r="I19" s="49">
        <v>92880</v>
      </c>
      <c r="J19" s="49">
        <v>42845</v>
      </c>
      <c r="K19" s="140">
        <v>50035</v>
      </c>
      <c r="L19" s="49">
        <v>6101</v>
      </c>
      <c r="M19" s="49">
        <v>2966</v>
      </c>
      <c r="N19" s="140">
        <v>3135</v>
      </c>
      <c r="O19" s="49">
        <v>16167</v>
      </c>
      <c r="P19" s="49">
        <v>7947</v>
      </c>
      <c r="Q19" s="140">
        <v>8220</v>
      </c>
    </row>
    <row r="20" spans="2:17" ht="24.95" customHeight="1">
      <c r="B20" s="141" t="s">
        <v>557</v>
      </c>
      <c r="C20" s="49">
        <v>727580</v>
      </c>
      <c r="D20" s="49">
        <v>354536</v>
      </c>
      <c r="E20" s="140">
        <v>373044</v>
      </c>
      <c r="F20" s="49">
        <v>617850</v>
      </c>
      <c r="G20" s="49">
        <v>304104</v>
      </c>
      <c r="H20" s="140">
        <v>313746</v>
      </c>
      <c r="I20" s="49">
        <v>90807</v>
      </c>
      <c r="J20" s="49">
        <v>41400</v>
      </c>
      <c r="K20" s="140">
        <v>49407</v>
      </c>
      <c r="L20" s="49">
        <v>5484</v>
      </c>
      <c r="M20" s="49">
        <v>2638</v>
      </c>
      <c r="N20" s="140">
        <v>2846</v>
      </c>
      <c r="O20" s="49">
        <v>13439</v>
      </c>
      <c r="P20" s="49">
        <v>6394</v>
      </c>
      <c r="Q20" s="140">
        <v>7045</v>
      </c>
    </row>
    <row r="21" spans="2:17" ht="24.95" customHeight="1">
      <c r="B21" s="141" t="s">
        <v>0</v>
      </c>
      <c r="C21" s="49">
        <v>619728</v>
      </c>
      <c r="D21" s="49">
        <v>299322</v>
      </c>
      <c r="E21" s="140">
        <v>320406</v>
      </c>
      <c r="F21" s="49">
        <v>530350</v>
      </c>
      <c r="G21" s="49">
        <v>259889</v>
      </c>
      <c r="H21" s="140">
        <v>270461</v>
      </c>
      <c r="I21" s="49">
        <v>74200</v>
      </c>
      <c r="J21" s="49">
        <v>32533</v>
      </c>
      <c r="K21" s="140">
        <v>41667</v>
      </c>
      <c r="L21" s="49">
        <v>4127</v>
      </c>
      <c r="M21" s="49">
        <v>1951</v>
      </c>
      <c r="N21" s="140">
        <v>2176</v>
      </c>
      <c r="O21" s="49">
        <v>11051</v>
      </c>
      <c r="P21" s="49">
        <v>4949</v>
      </c>
      <c r="Q21" s="140">
        <v>6102</v>
      </c>
    </row>
    <row r="22" spans="2:17" ht="24.95" customHeight="1">
      <c r="B22" s="141" t="s">
        <v>1</v>
      </c>
      <c r="C22" s="49">
        <v>482579</v>
      </c>
      <c r="D22" s="49">
        <v>230483</v>
      </c>
      <c r="E22" s="140">
        <v>252096</v>
      </c>
      <c r="F22" s="49">
        <v>417344</v>
      </c>
      <c r="G22" s="49">
        <v>201940</v>
      </c>
      <c r="H22" s="140">
        <v>215404</v>
      </c>
      <c r="I22" s="49">
        <v>53547</v>
      </c>
      <c r="J22" s="49">
        <v>23249</v>
      </c>
      <c r="K22" s="140">
        <v>30298</v>
      </c>
      <c r="L22" s="49">
        <v>2917</v>
      </c>
      <c r="M22" s="49">
        <v>1344</v>
      </c>
      <c r="N22" s="140">
        <v>1573</v>
      </c>
      <c r="O22" s="49">
        <v>8771</v>
      </c>
      <c r="P22" s="49">
        <v>3950</v>
      </c>
      <c r="Q22" s="140">
        <v>4821</v>
      </c>
    </row>
    <row r="23" spans="2:17" ht="24.95" customHeight="1">
      <c r="B23" s="141" t="s">
        <v>2</v>
      </c>
      <c r="C23" s="49">
        <v>352860</v>
      </c>
      <c r="D23" s="49">
        <v>164357</v>
      </c>
      <c r="E23" s="140">
        <v>188503</v>
      </c>
      <c r="F23" s="49">
        <v>309637</v>
      </c>
      <c r="G23" s="49">
        <v>145558</v>
      </c>
      <c r="H23" s="140">
        <v>164079</v>
      </c>
      <c r="I23" s="49">
        <v>35226</v>
      </c>
      <c r="J23" s="49">
        <v>15038</v>
      </c>
      <c r="K23" s="140">
        <v>20188</v>
      </c>
      <c r="L23" s="49">
        <v>1822</v>
      </c>
      <c r="M23" s="49">
        <v>857</v>
      </c>
      <c r="N23" s="140">
        <v>965</v>
      </c>
      <c r="O23" s="49">
        <v>6175</v>
      </c>
      <c r="P23" s="49">
        <v>2904</v>
      </c>
      <c r="Q23" s="140">
        <v>3271</v>
      </c>
    </row>
    <row r="24" spans="2:17" ht="24.95" customHeight="1">
      <c r="B24" s="141" t="s">
        <v>3</v>
      </c>
      <c r="C24" s="49">
        <v>250302</v>
      </c>
      <c r="D24" s="49">
        <v>110495</v>
      </c>
      <c r="E24" s="140">
        <v>139807</v>
      </c>
      <c r="F24" s="49">
        <v>221009</v>
      </c>
      <c r="G24" s="49">
        <v>98803</v>
      </c>
      <c r="H24" s="140">
        <v>122206</v>
      </c>
      <c r="I24" s="49">
        <v>24406</v>
      </c>
      <c r="J24" s="49">
        <v>9428</v>
      </c>
      <c r="K24" s="140">
        <v>14978</v>
      </c>
      <c r="L24" s="49">
        <v>1129</v>
      </c>
      <c r="M24" s="49">
        <v>475</v>
      </c>
      <c r="N24" s="140">
        <v>654</v>
      </c>
      <c r="O24" s="49">
        <v>3758</v>
      </c>
      <c r="P24" s="49">
        <v>1789</v>
      </c>
      <c r="Q24" s="140">
        <v>1969</v>
      </c>
    </row>
    <row r="25" spans="2:17" ht="24.95" customHeight="1">
      <c r="B25" s="141" t="s">
        <v>4</v>
      </c>
      <c r="C25" s="49">
        <v>193218</v>
      </c>
      <c r="D25" s="49">
        <v>78203</v>
      </c>
      <c r="E25" s="140">
        <v>115015</v>
      </c>
      <c r="F25" s="49">
        <v>172025</v>
      </c>
      <c r="G25" s="49">
        <v>70404</v>
      </c>
      <c r="H25" s="140">
        <v>101621</v>
      </c>
      <c r="I25" s="49">
        <v>18372</v>
      </c>
      <c r="J25" s="49">
        <v>6604</v>
      </c>
      <c r="K25" s="140">
        <v>11768</v>
      </c>
      <c r="L25" s="49">
        <v>673</v>
      </c>
      <c r="M25" s="49">
        <v>283</v>
      </c>
      <c r="N25" s="140">
        <v>390</v>
      </c>
      <c r="O25" s="49">
        <v>2148</v>
      </c>
      <c r="P25" s="49">
        <v>912</v>
      </c>
      <c r="Q25" s="140">
        <v>1236</v>
      </c>
    </row>
    <row r="26" spans="2:17" ht="24.95" customHeight="1">
      <c r="B26" s="141" t="s">
        <v>5</v>
      </c>
      <c r="C26" s="49">
        <v>208634</v>
      </c>
      <c r="D26" s="49">
        <v>69819</v>
      </c>
      <c r="E26" s="140">
        <v>138815</v>
      </c>
      <c r="F26" s="49">
        <v>187331</v>
      </c>
      <c r="G26" s="49">
        <v>63121</v>
      </c>
      <c r="H26" s="140">
        <v>124210</v>
      </c>
      <c r="I26" s="49">
        <v>18985</v>
      </c>
      <c r="J26" s="49">
        <v>5900</v>
      </c>
      <c r="K26" s="140">
        <v>13085</v>
      </c>
      <c r="L26" s="49">
        <v>641</v>
      </c>
      <c r="M26" s="49">
        <v>204</v>
      </c>
      <c r="N26" s="140">
        <v>437</v>
      </c>
      <c r="O26" s="49">
        <v>1677</v>
      </c>
      <c r="P26" s="49">
        <v>594</v>
      </c>
      <c r="Q26" s="140">
        <v>1083</v>
      </c>
    </row>
    <row r="27" spans="2:17" ht="24.95" customHeight="1">
      <c r="B27" s="56"/>
      <c r="C27" s="49"/>
      <c r="D27" s="49"/>
      <c r="E27" s="140"/>
      <c r="F27" s="49"/>
      <c r="G27" s="49"/>
      <c r="H27" s="140"/>
      <c r="I27" s="49"/>
      <c r="J27" s="49"/>
      <c r="K27" s="140"/>
      <c r="L27" s="49"/>
      <c r="M27" s="49"/>
      <c r="N27" s="140"/>
      <c r="O27" s="49"/>
      <c r="P27" s="49"/>
      <c r="Q27" s="140"/>
    </row>
    <row r="28" spans="2:17" ht="24.95" customHeight="1">
      <c r="B28" s="122" t="s">
        <v>174</v>
      </c>
      <c r="C28" s="78">
        <f>SUM(C8:C27)</f>
        <v>9895622</v>
      </c>
      <c r="D28" s="78">
        <f>SUM(D8:D27)</f>
        <v>4859284</v>
      </c>
      <c r="E28" s="113">
        <f t="shared" ref="E28:Q28" si="0">SUM(E8:E26)</f>
        <v>5036338</v>
      </c>
      <c r="F28" s="78">
        <f t="shared" si="0"/>
        <v>8027063</v>
      </c>
      <c r="G28" s="78">
        <f t="shared" si="0"/>
        <v>3965612</v>
      </c>
      <c r="H28" s="113">
        <f t="shared" si="0"/>
        <v>4061451</v>
      </c>
      <c r="I28" s="78">
        <f t="shared" si="0"/>
        <v>1485621</v>
      </c>
      <c r="J28" s="78">
        <f t="shared" si="0"/>
        <v>706705</v>
      </c>
      <c r="K28" s="113">
        <f t="shared" si="0"/>
        <v>778916</v>
      </c>
      <c r="L28" s="78">
        <f t="shared" si="0"/>
        <v>88291</v>
      </c>
      <c r="M28" s="78">
        <f t="shared" si="0"/>
        <v>43502</v>
      </c>
      <c r="N28" s="113">
        <f t="shared" si="0"/>
        <v>44789</v>
      </c>
      <c r="O28" s="78">
        <f t="shared" si="0"/>
        <v>294647</v>
      </c>
      <c r="P28" s="78">
        <f t="shared" si="0"/>
        <v>143465</v>
      </c>
      <c r="Q28" s="113">
        <f t="shared" si="0"/>
        <v>151182</v>
      </c>
    </row>
    <row r="29" spans="2:17" ht="12.75" customHeight="1"/>
    <row r="30" spans="2:17">
      <c r="B30" s="337" t="s">
        <v>632</v>
      </c>
      <c r="C30" s="337"/>
      <c r="D30" s="337"/>
      <c r="E30" s="337"/>
      <c r="F30" s="337"/>
      <c r="G30" s="337"/>
      <c r="H30" s="337"/>
      <c r="I30" s="337"/>
      <c r="J30" s="337"/>
      <c r="K30" s="337"/>
      <c r="L30" s="337"/>
      <c r="M30" s="337"/>
      <c r="N30" s="337"/>
      <c r="O30" s="337"/>
      <c r="P30" s="337"/>
      <c r="Q30" s="337"/>
    </row>
    <row r="31" spans="2:17">
      <c r="B31" s="337"/>
      <c r="C31" s="337"/>
      <c r="D31" s="337"/>
      <c r="E31" s="337"/>
      <c r="F31" s="337"/>
      <c r="G31" s="337"/>
      <c r="H31" s="337"/>
      <c r="I31" s="337"/>
      <c r="J31" s="337"/>
      <c r="K31" s="337"/>
      <c r="L31" s="337"/>
      <c r="M31" s="337"/>
      <c r="N31" s="337"/>
      <c r="O31" s="337"/>
      <c r="P31" s="337"/>
      <c r="Q31" s="337"/>
    </row>
    <row r="32" spans="2:17" ht="24.95" customHeight="1">
      <c r="Q32" s="143"/>
    </row>
  </sheetData>
  <mergeCells count="8">
    <mergeCell ref="B30:Q31"/>
    <mergeCell ref="B1:Q1"/>
    <mergeCell ref="B5:B6"/>
    <mergeCell ref="C5:E5"/>
    <mergeCell ref="F5:H5"/>
    <mergeCell ref="I5:K5"/>
    <mergeCell ref="L5:N5"/>
    <mergeCell ref="O5:Q5"/>
  </mergeCells>
  <phoneticPr fontId="10"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6</v>
      </c>
      <c r="C2" s="4"/>
      <c r="D2" s="4"/>
      <c r="E2" s="4"/>
      <c r="F2" s="4"/>
      <c r="G2" s="4"/>
      <c r="H2" s="4"/>
    </row>
    <row r="3" spans="2:62" ht="15.75">
      <c r="B3" s="5" t="s">
        <v>7</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4">
        <v>7.0800000000000004E-3</v>
      </c>
      <c r="D6" s="95">
        <v>100000</v>
      </c>
      <c r="E6" s="95">
        <v>708</v>
      </c>
      <c r="F6" s="95">
        <v>99378</v>
      </c>
      <c r="G6" s="95">
        <v>7792266</v>
      </c>
      <c r="H6" s="145">
        <v>77.923000000000002</v>
      </c>
    </row>
    <row r="7" spans="2:62">
      <c r="B7" s="8" t="s">
        <v>16</v>
      </c>
      <c r="C7" s="144">
        <v>8.9999999999999998E-4</v>
      </c>
      <c r="D7" s="49">
        <v>99292</v>
      </c>
      <c r="E7" s="49">
        <v>90</v>
      </c>
      <c r="F7" s="49">
        <v>396942</v>
      </c>
      <c r="G7" s="49">
        <v>7692888</v>
      </c>
      <c r="H7" s="146">
        <v>77.477000000000004</v>
      </c>
    </row>
    <row r="8" spans="2:62">
      <c r="B8" s="8" t="s">
        <v>17</v>
      </c>
      <c r="C8" s="144">
        <v>5.2999999999999998E-4</v>
      </c>
      <c r="D8" s="49">
        <v>99202</v>
      </c>
      <c r="E8" s="49">
        <v>52</v>
      </c>
      <c r="F8" s="49">
        <v>495874</v>
      </c>
      <c r="G8" s="49">
        <v>7295946</v>
      </c>
      <c r="H8" s="146">
        <v>73.546000000000006</v>
      </c>
    </row>
    <row r="9" spans="2:62">
      <c r="B9" s="8" t="s">
        <v>18</v>
      </c>
      <c r="C9" s="144">
        <v>8.1999999999999998E-4</v>
      </c>
      <c r="D9" s="49">
        <v>99150</v>
      </c>
      <c r="E9" s="49">
        <v>81</v>
      </c>
      <c r="F9" s="49">
        <v>495584</v>
      </c>
      <c r="G9" s="49">
        <v>6800072</v>
      </c>
      <c r="H9" s="146">
        <v>68.584000000000003</v>
      </c>
    </row>
    <row r="10" spans="2:62">
      <c r="B10" s="8" t="s">
        <v>19</v>
      </c>
      <c r="C10" s="144">
        <v>2.32E-3</v>
      </c>
      <c r="D10" s="49">
        <v>99069</v>
      </c>
      <c r="E10" s="49">
        <v>230</v>
      </c>
      <c r="F10" s="49">
        <v>494849</v>
      </c>
      <c r="G10" s="49">
        <v>6304488</v>
      </c>
      <c r="H10" s="146">
        <v>63.637</v>
      </c>
      <c r="BD10" s="147"/>
      <c r="BF10" s="147"/>
    </row>
    <row r="11" spans="2:62">
      <c r="B11" s="8" t="s">
        <v>20</v>
      </c>
      <c r="C11" s="144">
        <v>4.6600000000000001E-3</v>
      </c>
      <c r="D11" s="49">
        <v>98839</v>
      </c>
      <c r="E11" s="49">
        <v>461</v>
      </c>
      <c r="F11" s="49">
        <v>493107</v>
      </c>
      <c r="G11" s="49">
        <v>5809639</v>
      </c>
      <c r="H11" s="146">
        <v>58.779000000000003</v>
      </c>
      <c r="BD11" s="147"/>
      <c r="BF11" s="147"/>
    </row>
    <row r="12" spans="2:62">
      <c r="B12" s="8" t="s">
        <v>21</v>
      </c>
      <c r="C12" s="144">
        <v>5.5100000000000001E-3</v>
      </c>
      <c r="D12" s="49">
        <v>98378</v>
      </c>
      <c r="E12" s="49">
        <v>542</v>
      </c>
      <c r="F12" s="49">
        <v>490577</v>
      </c>
      <c r="G12" s="49">
        <v>5316532</v>
      </c>
      <c r="H12" s="146">
        <v>54.042000000000002</v>
      </c>
    </row>
    <row r="13" spans="2:62">
      <c r="B13" s="8" t="s">
        <v>22</v>
      </c>
      <c r="C13" s="144">
        <v>6.7400000000000003E-3</v>
      </c>
      <c r="D13" s="49">
        <v>97836</v>
      </c>
      <c r="E13" s="49">
        <v>660</v>
      </c>
      <c r="F13" s="49">
        <v>487576</v>
      </c>
      <c r="G13" s="49">
        <v>4825955</v>
      </c>
      <c r="H13" s="146">
        <v>49.326999999999998</v>
      </c>
    </row>
    <row r="14" spans="2:62">
      <c r="B14" s="8" t="s">
        <v>23</v>
      </c>
      <c r="C14" s="144">
        <v>7.8600000000000007E-3</v>
      </c>
      <c r="D14" s="49">
        <v>97176</v>
      </c>
      <c r="E14" s="49">
        <v>764</v>
      </c>
      <c r="F14" s="49">
        <v>484061</v>
      </c>
      <c r="G14" s="49">
        <v>4338379</v>
      </c>
      <c r="H14" s="146">
        <v>44.645000000000003</v>
      </c>
    </row>
    <row r="15" spans="2:62">
      <c r="B15" s="8" t="s">
        <v>24</v>
      </c>
      <c r="C15" s="144">
        <v>1.1350000000000001E-2</v>
      </c>
      <c r="D15" s="49">
        <v>96412</v>
      </c>
      <c r="E15" s="49">
        <v>1095</v>
      </c>
      <c r="F15" s="49">
        <v>479496</v>
      </c>
      <c r="G15" s="49">
        <v>3854318</v>
      </c>
      <c r="H15" s="146">
        <v>39.978000000000002</v>
      </c>
      <c r="BD15" s="147"/>
      <c r="BF15" s="147"/>
      <c r="BH15" s="147"/>
      <c r="BJ15" s="147"/>
    </row>
    <row r="16" spans="2:62">
      <c r="B16" s="8" t="s">
        <v>25</v>
      </c>
      <c r="C16" s="144">
        <v>1.6709999999999999E-2</v>
      </c>
      <c r="D16" s="49">
        <v>95317</v>
      </c>
      <c r="E16" s="49">
        <v>1592</v>
      </c>
      <c r="F16" s="49">
        <v>472892</v>
      </c>
      <c r="G16" s="49">
        <v>3374822</v>
      </c>
      <c r="H16" s="146">
        <v>35.405999999999999</v>
      </c>
      <c r="AV16" s="147"/>
      <c r="AX16" s="147"/>
      <c r="BD16" s="147"/>
      <c r="BF16" s="147"/>
    </row>
    <row r="17" spans="2:9">
      <c r="B17" s="8" t="s">
        <v>26</v>
      </c>
      <c r="C17" s="144">
        <v>2.6259999999999999E-2</v>
      </c>
      <c r="D17" s="49">
        <v>93725</v>
      </c>
      <c r="E17" s="49">
        <v>2461</v>
      </c>
      <c r="F17" s="49">
        <v>462847</v>
      </c>
      <c r="G17" s="49">
        <v>2901930</v>
      </c>
      <c r="H17" s="146">
        <v>30.962</v>
      </c>
    </row>
    <row r="18" spans="2:9">
      <c r="B18" s="8" t="s">
        <v>27</v>
      </c>
      <c r="C18" s="144">
        <v>3.705E-2</v>
      </c>
      <c r="D18" s="49">
        <v>91264</v>
      </c>
      <c r="E18" s="49">
        <v>3382</v>
      </c>
      <c r="F18" s="49">
        <v>448305</v>
      </c>
      <c r="G18" s="49">
        <v>2439083</v>
      </c>
      <c r="H18" s="146">
        <v>26.725999999999999</v>
      </c>
    </row>
    <row r="19" spans="2:9">
      <c r="B19" s="8" t="s">
        <v>28</v>
      </c>
      <c r="C19" s="144">
        <v>5.1720000000000002E-2</v>
      </c>
      <c r="D19" s="49">
        <v>87882</v>
      </c>
      <c r="E19" s="49">
        <v>4546</v>
      </c>
      <c r="F19" s="49">
        <v>428665</v>
      </c>
      <c r="G19" s="49">
        <v>1990778</v>
      </c>
      <c r="H19" s="146">
        <v>22.652999999999999</v>
      </c>
    </row>
    <row r="20" spans="2:9">
      <c r="B20" s="8" t="s">
        <v>29</v>
      </c>
      <c r="C20" s="144">
        <v>7.5340000000000004E-2</v>
      </c>
      <c r="D20" s="49">
        <v>83336</v>
      </c>
      <c r="E20" s="49">
        <v>6279</v>
      </c>
      <c r="F20" s="49">
        <v>401935</v>
      </c>
      <c r="G20" s="49">
        <v>1562113</v>
      </c>
      <c r="H20" s="146">
        <v>18.745000000000001</v>
      </c>
    </row>
    <row r="21" spans="2:9">
      <c r="B21" s="8" t="s">
        <v>30</v>
      </c>
      <c r="C21" s="144">
        <v>0.11567</v>
      </c>
      <c r="D21" s="49">
        <v>77057</v>
      </c>
      <c r="E21" s="49">
        <v>8913</v>
      </c>
      <c r="F21" s="49">
        <v>364288</v>
      </c>
      <c r="G21" s="49">
        <v>1160178</v>
      </c>
      <c r="H21" s="146">
        <v>15.055999999999999</v>
      </c>
    </row>
    <row r="22" spans="2:9">
      <c r="B22" s="8" t="s">
        <v>31</v>
      </c>
      <c r="C22" s="144">
        <v>0.17710000000000001</v>
      </c>
      <c r="D22" s="49">
        <v>68144</v>
      </c>
      <c r="E22" s="49">
        <v>12068</v>
      </c>
      <c r="F22" s="49">
        <v>312128</v>
      </c>
      <c r="G22" s="49">
        <v>795890</v>
      </c>
      <c r="H22" s="146">
        <v>11.68</v>
      </c>
    </row>
    <row r="23" spans="2:9">
      <c r="B23" s="8" t="s">
        <v>32</v>
      </c>
      <c r="C23" s="144">
        <v>0.27731</v>
      </c>
      <c r="D23" s="49">
        <v>56076</v>
      </c>
      <c r="E23" s="49">
        <v>15550</v>
      </c>
      <c r="F23" s="49">
        <v>244659</v>
      </c>
      <c r="G23" s="49">
        <v>483762</v>
      </c>
      <c r="H23" s="146">
        <v>8.6270000000000007</v>
      </c>
    </row>
    <row r="24" spans="2:9">
      <c r="B24" s="6" t="s">
        <v>5</v>
      </c>
      <c r="C24" s="151">
        <v>1</v>
      </c>
      <c r="D24" s="68">
        <v>40526</v>
      </c>
      <c r="E24" s="68">
        <v>40526</v>
      </c>
      <c r="F24" s="68">
        <v>239103</v>
      </c>
      <c r="G24" s="68">
        <v>239103</v>
      </c>
      <c r="H24" s="148">
        <v>5.9</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47</v>
      </c>
      <c r="C2" s="4"/>
      <c r="D2" s="4"/>
      <c r="E2" s="4"/>
      <c r="F2" s="4"/>
      <c r="G2" s="4"/>
      <c r="H2" s="4"/>
    </row>
    <row r="3" spans="2:62" ht="15.75">
      <c r="B3" s="5" t="s">
        <v>48</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7.9600000000000001E-3</v>
      </c>
      <c r="D6" s="95">
        <v>100000</v>
      </c>
      <c r="E6" s="95">
        <v>796</v>
      </c>
      <c r="F6" s="95">
        <v>99294</v>
      </c>
      <c r="G6" s="95">
        <v>7547365</v>
      </c>
      <c r="H6" s="145">
        <v>75.474000000000004</v>
      </c>
    </row>
    <row r="7" spans="2:62">
      <c r="B7" s="8" t="s">
        <v>16</v>
      </c>
      <c r="C7" s="150">
        <v>1.07E-3</v>
      </c>
      <c r="D7" s="49">
        <v>99204</v>
      </c>
      <c r="E7" s="49">
        <v>106</v>
      </c>
      <c r="F7" s="49">
        <v>396548</v>
      </c>
      <c r="G7" s="49">
        <v>7448071</v>
      </c>
      <c r="H7" s="146">
        <v>75.078000000000003</v>
      </c>
    </row>
    <row r="8" spans="2:62">
      <c r="B8" s="8" t="s">
        <v>17</v>
      </c>
      <c r="C8" s="150">
        <v>5.9000000000000003E-4</v>
      </c>
      <c r="D8" s="49">
        <v>99098</v>
      </c>
      <c r="E8" s="49">
        <v>58</v>
      </c>
      <c r="F8" s="49">
        <v>495337</v>
      </c>
      <c r="G8" s="49">
        <v>7051523</v>
      </c>
      <c r="H8" s="146">
        <v>71.156999999999996</v>
      </c>
    </row>
    <row r="9" spans="2:62">
      <c r="B9" s="8" t="s">
        <v>18</v>
      </c>
      <c r="C9" s="150">
        <v>9.6000000000000002E-4</v>
      </c>
      <c r="D9" s="49">
        <v>99040</v>
      </c>
      <c r="E9" s="49">
        <v>95</v>
      </c>
      <c r="F9" s="49">
        <v>495018</v>
      </c>
      <c r="G9" s="49">
        <v>6556186</v>
      </c>
      <c r="H9" s="146">
        <v>66.197000000000003</v>
      </c>
    </row>
    <row r="10" spans="2:62">
      <c r="B10" s="8" t="s">
        <v>19</v>
      </c>
      <c r="C10" s="150">
        <v>3.2699999999999999E-3</v>
      </c>
      <c r="D10" s="49">
        <v>98945</v>
      </c>
      <c r="E10" s="49">
        <v>323</v>
      </c>
      <c r="F10" s="49">
        <v>494033</v>
      </c>
      <c r="G10" s="49">
        <v>6061168</v>
      </c>
      <c r="H10" s="146">
        <v>61.258000000000003</v>
      </c>
      <c r="BD10" s="147"/>
      <c r="BF10" s="147"/>
    </row>
    <row r="11" spans="2:62">
      <c r="B11" s="8" t="s">
        <v>20</v>
      </c>
      <c r="C11" s="150">
        <v>6.5700000000000003E-3</v>
      </c>
      <c r="D11" s="49">
        <v>98622</v>
      </c>
      <c r="E11" s="49">
        <v>648</v>
      </c>
      <c r="F11" s="49">
        <v>491584</v>
      </c>
      <c r="G11" s="49">
        <v>5567135</v>
      </c>
      <c r="H11" s="146">
        <v>56.448999999999998</v>
      </c>
      <c r="BD11" s="147"/>
      <c r="BF11" s="147"/>
    </row>
    <row r="12" spans="2:62">
      <c r="B12" s="8" t="s">
        <v>21</v>
      </c>
      <c r="C12" s="150">
        <v>7.9299999999999995E-3</v>
      </c>
      <c r="D12" s="49">
        <v>97974</v>
      </c>
      <c r="E12" s="49">
        <v>777</v>
      </c>
      <c r="F12" s="49">
        <v>487979</v>
      </c>
      <c r="G12" s="49">
        <v>5075551</v>
      </c>
      <c r="H12" s="146">
        <v>51.805</v>
      </c>
    </row>
    <row r="13" spans="2:62">
      <c r="B13" s="8" t="s">
        <v>22</v>
      </c>
      <c r="C13" s="150">
        <v>9.2099999999999994E-3</v>
      </c>
      <c r="D13" s="49">
        <v>97197</v>
      </c>
      <c r="E13" s="49">
        <v>895</v>
      </c>
      <c r="F13" s="49">
        <v>483791</v>
      </c>
      <c r="G13" s="49">
        <v>4587572</v>
      </c>
      <c r="H13" s="146">
        <v>47.198999999999998</v>
      </c>
    </row>
    <row r="14" spans="2:62">
      <c r="B14" s="8" t="s">
        <v>23</v>
      </c>
      <c r="C14" s="150">
        <v>1.022E-2</v>
      </c>
      <c r="D14" s="49">
        <v>96302</v>
      </c>
      <c r="E14" s="49">
        <v>984</v>
      </c>
      <c r="F14" s="49">
        <v>479143</v>
      </c>
      <c r="G14" s="49">
        <v>4103781</v>
      </c>
      <c r="H14" s="146">
        <v>42.613999999999997</v>
      </c>
    </row>
    <row r="15" spans="2:62">
      <c r="B15" s="8" t="s">
        <v>24</v>
      </c>
      <c r="C15" s="150">
        <v>1.404E-2</v>
      </c>
      <c r="D15" s="49">
        <v>95318</v>
      </c>
      <c r="E15" s="49">
        <v>1338</v>
      </c>
      <c r="F15" s="49">
        <v>473433</v>
      </c>
      <c r="G15" s="49">
        <v>3624638</v>
      </c>
      <c r="H15" s="146">
        <v>38.027000000000001</v>
      </c>
      <c r="BD15" s="147"/>
      <c r="BF15" s="147"/>
      <c r="BH15" s="147"/>
      <c r="BJ15" s="147"/>
    </row>
    <row r="16" spans="2:62">
      <c r="B16" s="8" t="s">
        <v>25</v>
      </c>
      <c r="C16" s="150">
        <v>2.0029999999999999E-2</v>
      </c>
      <c r="D16" s="49">
        <v>93980</v>
      </c>
      <c r="E16" s="49">
        <v>1883</v>
      </c>
      <c r="F16" s="49">
        <v>465530</v>
      </c>
      <c r="G16" s="49">
        <v>3151205</v>
      </c>
      <c r="H16" s="146">
        <v>33.530999999999999</v>
      </c>
      <c r="AV16" s="147"/>
      <c r="AX16" s="147"/>
      <c r="BD16" s="147"/>
      <c r="BF16" s="147"/>
    </row>
    <row r="17" spans="2:9">
      <c r="B17" s="8" t="s">
        <v>26</v>
      </c>
      <c r="C17" s="150">
        <v>3.1879999999999999E-2</v>
      </c>
      <c r="D17" s="49">
        <v>92097</v>
      </c>
      <c r="E17" s="49">
        <v>2936</v>
      </c>
      <c r="F17" s="49">
        <v>453612</v>
      </c>
      <c r="G17" s="49">
        <v>2685675</v>
      </c>
      <c r="H17" s="146">
        <v>29.161000000000001</v>
      </c>
    </row>
    <row r="18" spans="2:9">
      <c r="B18" s="8" t="s">
        <v>27</v>
      </c>
      <c r="C18" s="150">
        <v>4.6059999999999997E-2</v>
      </c>
      <c r="D18" s="49">
        <v>89161</v>
      </c>
      <c r="E18" s="49">
        <v>4106</v>
      </c>
      <c r="F18" s="49">
        <v>436083</v>
      </c>
      <c r="G18" s="49">
        <v>2232063</v>
      </c>
      <c r="H18" s="146">
        <v>25.033999999999999</v>
      </c>
    </row>
    <row r="19" spans="2:9">
      <c r="B19" s="8" t="s">
        <v>28</v>
      </c>
      <c r="C19" s="150">
        <v>6.4740000000000006E-2</v>
      </c>
      <c r="D19" s="49">
        <v>85055</v>
      </c>
      <c r="E19" s="49">
        <v>5506</v>
      </c>
      <c r="F19" s="49">
        <v>412158</v>
      </c>
      <c r="G19" s="49">
        <v>1795980</v>
      </c>
      <c r="H19" s="146">
        <v>21.116</v>
      </c>
    </row>
    <row r="20" spans="2:9">
      <c r="B20" s="8" t="s">
        <v>29</v>
      </c>
      <c r="C20" s="150">
        <v>8.9880000000000002E-2</v>
      </c>
      <c r="D20" s="49">
        <v>79549</v>
      </c>
      <c r="E20" s="49">
        <v>7150</v>
      </c>
      <c r="F20" s="49">
        <v>380805</v>
      </c>
      <c r="G20" s="49">
        <v>1383822</v>
      </c>
      <c r="H20" s="146">
        <v>17.396000000000001</v>
      </c>
    </row>
    <row r="21" spans="2:9">
      <c r="B21" s="8" t="s">
        <v>30</v>
      </c>
      <c r="C21" s="150">
        <v>0.13447000000000001</v>
      </c>
      <c r="D21" s="49">
        <v>72399</v>
      </c>
      <c r="E21" s="49">
        <v>9735</v>
      </c>
      <c r="F21" s="49">
        <v>338973</v>
      </c>
      <c r="G21" s="49">
        <v>1003017</v>
      </c>
      <c r="H21" s="146">
        <v>13.853999999999999</v>
      </c>
    </row>
    <row r="22" spans="2:9">
      <c r="B22" s="8" t="s">
        <v>31</v>
      </c>
      <c r="C22" s="150">
        <v>0.20649999999999999</v>
      </c>
      <c r="D22" s="49">
        <v>62664</v>
      </c>
      <c r="E22" s="49">
        <v>12940</v>
      </c>
      <c r="F22" s="49">
        <v>282563</v>
      </c>
      <c r="G22" s="49">
        <v>664044</v>
      </c>
      <c r="H22" s="146">
        <v>10.597</v>
      </c>
    </row>
    <row r="23" spans="2:9">
      <c r="B23" s="8" t="s">
        <v>32</v>
      </c>
      <c r="C23" s="150">
        <v>0.32512000000000002</v>
      </c>
      <c r="D23" s="49">
        <v>49724</v>
      </c>
      <c r="E23" s="49">
        <v>16166</v>
      </c>
      <c r="F23" s="49">
        <v>210335</v>
      </c>
      <c r="G23" s="49">
        <v>381481</v>
      </c>
      <c r="H23" s="146">
        <v>7.6719999999999997</v>
      </c>
    </row>
    <row r="24" spans="2:9">
      <c r="B24" s="6" t="s">
        <v>5</v>
      </c>
      <c r="C24" s="151">
        <v>1</v>
      </c>
      <c r="D24" s="68">
        <v>33558</v>
      </c>
      <c r="E24" s="68">
        <v>33558</v>
      </c>
      <c r="F24" s="68">
        <v>171146</v>
      </c>
      <c r="G24" s="68">
        <v>171146</v>
      </c>
      <c r="H24" s="148">
        <v>5.0999999999999996</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45</v>
      </c>
      <c r="C2" s="4"/>
      <c r="D2" s="4"/>
      <c r="E2" s="4"/>
      <c r="F2" s="4"/>
      <c r="G2" s="4"/>
      <c r="H2" s="4"/>
    </row>
    <row r="3" spans="2:62" ht="15.75">
      <c r="B3" s="5" t="s">
        <v>46</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6.13E-3</v>
      </c>
      <c r="D6" s="95">
        <v>100000</v>
      </c>
      <c r="E6" s="95">
        <v>613</v>
      </c>
      <c r="F6" s="95">
        <v>99469</v>
      </c>
      <c r="G6" s="95">
        <v>8034218</v>
      </c>
      <c r="H6" s="145">
        <v>80.341999999999999</v>
      </c>
    </row>
    <row r="7" spans="2:62">
      <c r="B7" s="8" t="s">
        <v>16</v>
      </c>
      <c r="C7" s="150">
        <v>7.2999999999999996E-4</v>
      </c>
      <c r="D7" s="49">
        <v>99387</v>
      </c>
      <c r="E7" s="49">
        <v>73</v>
      </c>
      <c r="F7" s="49">
        <v>397366</v>
      </c>
      <c r="G7" s="49">
        <v>7934749</v>
      </c>
      <c r="H7" s="146">
        <v>79.837000000000003</v>
      </c>
    </row>
    <row r="8" spans="2:62">
      <c r="B8" s="8" t="s">
        <v>17</v>
      </c>
      <c r="C8" s="150">
        <v>4.6999999999999999E-4</v>
      </c>
      <c r="D8" s="49">
        <v>99314</v>
      </c>
      <c r="E8" s="49">
        <v>46</v>
      </c>
      <c r="F8" s="49">
        <v>496450</v>
      </c>
      <c r="G8" s="49">
        <v>7537383</v>
      </c>
      <c r="H8" s="146">
        <v>75.894000000000005</v>
      </c>
    </row>
    <row r="9" spans="2:62">
      <c r="B9" s="8" t="s">
        <v>18</v>
      </c>
      <c r="C9" s="150">
        <v>6.6E-4</v>
      </c>
      <c r="D9" s="49">
        <v>99268</v>
      </c>
      <c r="E9" s="49">
        <v>65</v>
      </c>
      <c r="F9" s="49">
        <v>496195</v>
      </c>
      <c r="G9" s="49">
        <v>7040933</v>
      </c>
      <c r="H9" s="146">
        <v>70.929000000000002</v>
      </c>
    </row>
    <row r="10" spans="2:62">
      <c r="B10" s="8" t="s">
        <v>19</v>
      </c>
      <c r="C10" s="150">
        <v>1.32E-3</v>
      </c>
      <c r="D10" s="49">
        <v>99203</v>
      </c>
      <c r="E10" s="49">
        <v>131</v>
      </c>
      <c r="F10" s="49">
        <v>495729</v>
      </c>
      <c r="G10" s="49">
        <v>6544738</v>
      </c>
      <c r="H10" s="146">
        <v>65.972999999999999</v>
      </c>
      <c r="BD10" s="147"/>
      <c r="BF10" s="147"/>
    </row>
    <row r="11" spans="2:62">
      <c r="B11" s="8" t="s">
        <v>20</v>
      </c>
      <c r="C11" s="150">
        <v>2.6900000000000001E-3</v>
      </c>
      <c r="D11" s="49">
        <v>99072</v>
      </c>
      <c r="E11" s="49">
        <v>267</v>
      </c>
      <c r="F11" s="49">
        <v>494728</v>
      </c>
      <c r="G11" s="49">
        <v>6049009</v>
      </c>
      <c r="H11" s="146">
        <v>61.057000000000002</v>
      </c>
      <c r="BD11" s="147"/>
      <c r="BF11" s="147"/>
    </row>
    <row r="12" spans="2:62">
      <c r="B12" s="8" t="s">
        <v>21</v>
      </c>
      <c r="C12" s="150">
        <v>3.0400000000000002E-3</v>
      </c>
      <c r="D12" s="49">
        <v>98805</v>
      </c>
      <c r="E12" s="49">
        <v>300</v>
      </c>
      <c r="F12" s="49">
        <v>493308</v>
      </c>
      <c r="G12" s="49">
        <v>5554281</v>
      </c>
      <c r="H12" s="146">
        <v>56.215000000000003</v>
      </c>
    </row>
    <row r="13" spans="2:62">
      <c r="B13" s="8" t="s">
        <v>22</v>
      </c>
      <c r="C13" s="150">
        <v>4.3E-3</v>
      </c>
      <c r="D13" s="49">
        <v>98505</v>
      </c>
      <c r="E13" s="49">
        <v>423</v>
      </c>
      <c r="F13" s="49">
        <v>491518</v>
      </c>
      <c r="G13" s="49">
        <v>5060973</v>
      </c>
      <c r="H13" s="146">
        <v>51.378</v>
      </c>
    </row>
    <row r="14" spans="2:62">
      <c r="B14" s="8" t="s">
        <v>23</v>
      </c>
      <c r="C14" s="150">
        <v>5.5399999999999998E-3</v>
      </c>
      <c r="D14" s="49">
        <v>98082</v>
      </c>
      <c r="E14" s="49">
        <v>543</v>
      </c>
      <c r="F14" s="49">
        <v>489142</v>
      </c>
      <c r="G14" s="49">
        <v>4569455</v>
      </c>
      <c r="H14" s="146">
        <v>46.588000000000001</v>
      </c>
    </row>
    <row r="15" spans="2:62">
      <c r="B15" s="8" t="s">
        <v>24</v>
      </c>
      <c r="C15" s="150">
        <v>8.7200000000000003E-3</v>
      </c>
      <c r="D15" s="49">
        <v>97539</v>
      </c>
      <c r="E15" s="49">
        <v>851</v>
      </c>
      <c r="F15" s="49">
        <v>485725</v>
      </c>
      <c r="G15" s="49">
        <v>4080313</v>
      </c>
      <c r="H15" s="146">
        <v>41.832999999999998</v>
      </c>
      <c r="BD15" s="147"/>
      <c r="BF15" s="147"/>
      <c r="BH15" s="147"/>
      <c r="BJ15" s="147"/>
    </row>
    <row r="16" spans="2:62">
      <c r="B16" s="8" t="s">
        <v>25</v>
      </c>
      <c r="C16" s="150">
        <v>1.3429999999999999E-2</v>
      </c>
      <c r="D16" s="49">
        <v>96688</v>
      </c>
      <c r="E16" s="49">
        <v>1299</v>
      </c>
      <c r="F16" s="49">
        <v>480430</v>
      </c>
      <c r="G16" s="49">
        <v>3594588</v>
      </c>
      <c r="H16" s="146">
        <v>37.177</v>
      </c>
      <c r="AV16" s="147"/>
      <c r="AX16" s="147"/>
      <c r="BD16" s="147"/>
      <c r="BF16" s="147"/>
    </row>
    <row r="17" spans="2:9">
      <c r="B17" s="8" t="s">
        <v>26</v>
      </c>
      <c r="C17" s="150">
        <v>2.078E-2</v>
      </c>
      <c r="D17" s="49">
        <v>95389</v>
      </c>
      <c r="E17" s="49">
        <v>1982</v>
      </c>
      <c r="F17" s="49">
        <v>472273</v>
      </c>
      <c r="G17" s="49">
        <v>3114158</v>
      </c>
      <c r="H17" s="146">
        <v>32.646999999999998</v>
      </c>
    </row>
    <row r="18" spans="2:9">
      <c r="B18" s="8" t="s">
        <v>27</v>
      </c>
      <c r="C18" s="150">
        <v>2.8420000000000001E-2</v>
      </c>
      <c r="D18" s="49">
        <v>93407</v>
      </c>
      <c r="E18" s="49">
        <v>2655</v>
      </c>
      <c r="F18" s="49">
        <v>460733</v>
      </c>
      <c r="G18" s="49">
        <v>2641885</v>
      </c>
      <c r="H18" s="146">
        <v>28.283999999999999</v>
      </c>
    </row>
    <row r="19" spans="2:9">
      <c r="B19" s="8" t="s">
        <v>28</v>
      </c>
      <c r="C19" s="150">
        <v>3.9419999999999997E-2</v>
      </c>
      <c r="D19" s="49">
        <v>90752</v>
      </c>
      <c r="E19" s="49">
        <v>3577</v>
      </c>
      <c r="F19" s="49">
        <v>445404</v>
      </c>
      <c r="G19" s="49">
        <v>2181152</v>
      </c>
      <c r="H19" s="146">
        <v>24.033999999999999</v>
      </c>
    </row>
    <row r="20" spans="2:9">
      <c r="B20" s="8" t="s">
        <v>29</v>
      </c>
      <c r="C20" s="150">
        <v>6.1870000000000001E-2</v>
      </c>
      <c r="D20" s="49">
        <v>87175</v>
      </c>
      <c r="E20" s="49">
        <v>5394</v>
      </c>
      <c r="F20" s="49">
        <v>423366</v>
      </c>
      <c r="G20" s="49">
        <v>1735748</v>
      </c>
      <c r="H20" s="146">
        <v>19.911000000000001</v>
      </c>
    </row>
    <row r="21" spans="2:9">
      <c r="B21" s="8" t="s">
        <v>30</v>
      </c>
      <c r="C21" s="150">
        <v>9.8970000000000002E-2</v>
      </c>
      <c r="D21" s="49">
        <v>81781</v>
      </c>
      <c r="E21" s="49">
        <v>8094</v>
      </c>
      <c r="F21" s="49">
        <v>389960</v>
      </c>
      <c r="G21" s="49">
        <v>1312382</v>
      </c>
      <c r="H21" s="146">
        <v>16.047999999999998</v>
      </c>
    </row>
    <row r="22" spans="2:9">
      <c r="B22" s="8" t="s">
        <v>31</v>
      </c>
      <c r="C22" s="150">
        <v>0.15315999999999999</v>
      </c>
      <c r="D22" s="49">
        <v>73687</v>
      </c>
      <c r="E22" s="49">
        <v>11286</v>
      </c>
      <c r="F22" s="49">
        <v>341866</v>
      </c>
      <c r="G22" s="49">
        <v>922422</v>
      </c>
      <c r="H22" s="146">
        <v>12.518000000000001</v>
      </c>
    </row>
    <row r="23" spans="2:9">
      <c r="B23" s="8" t="s">
        <v>32</v>
      </c>
      <c r="C23" s="150">
        <v>0.24304999999999999</v>
      </c>
      <c r="D23" s="49">
        <v>62401</v>
      </c>
      <c r="E23" s="49">
        <v>15166</v>
      </c>
      <c r="F23" s="49">
        <v>278252</v>
      </c>
      <c r="G23" s="49">
        <v>580556</v>
      </c>
      <c r="H23" s="146">
        <v>9.3040000000000003</v>
      </c>
    </row>
    <row r="24" spans="2:9">
      <c r="B24" s="6" t="s">
        <v>5</v>
      </c>
      <c r="C24" s="151">
        <v>1</v>
      </c>
      <c r="D24" s="68">
        <v>47235</v>
      </c>
      <c r="E24" s="68">
        <v>47235</v>
      </c>
      <c r="F24" s="68">
        <v>302304</v>
      </c>
      <c r="G24" s="68">
        <v>302304</v>
      </c>
      <c r="H24" s="148">
        <v>6.4</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43</v>
      </c>
      <c r="C2" s="4"/>
      <c r="D2" s="4"/>
      <c r="E2" s="4"/>
      <c r="F2" s="4"/>
      <c r="G2" s="4"/>
      <c r="H2" s="4"/>
    </row>
    <row r="3" spans="2:62" ht="15.75">
      <c r="B3" s="5" t="s">
        <v>44</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5.5999999999999999E-3</v>
      </c>
      <c r="D6" s="95">
        <v>100000</v>
      </c>
      <c r="E6" s="95">
        <v>560</v>
      </c>
      <c r="F6" s="95">
        <v>99509</v>
      </c>
      <c r="G6" s="95">
        <v>7866724</v>
      </c>
      <c r="H6" s="145">
        <v>78.667000000000002</v>
      </c>
    </row>
    <row r="7" spans="2:62">
      <c r="B7" s="8" t="s">
        <v>16</v>
      </c>
      <c r="C7" s="150">
        <v>8.0000000000000004E-4</v>
      </c>
      <c r="D7" s="49">
        <v>99440</v>
      </c>
      <c r="E7" s="49">
        <v>80</v>
      </c>
      <c r="F7" s="49">
        <v>397556</v>
      </c>
      <c r="G7" s="49">
        <v>7767215</v>
      </c>
      <c r="H7" s="146">
        <v>78.11</v>
      </c>
    </row>
    <row r="8" spans="2:62">
      <c r="B8" s="8" t="s">
        <v>17</v>
      </c>
      <c r="C8" s="150">
        <v>4.8999999999999998E-4</v>
      </c>
      <c r="D8" s="49">
        <v>99360</v>
      </c>
      <c r="E8" s="49">
        <v>49</v>
      </c>
      <c r="F8" s="49">
        <v>496673</v>
      </c>
      <c r="G8" s="49">
        <v>7369659</v>
      </c>
      <c r="H8" s="146">
        <v>74.171000000000006</v>
      </c>
    </row>
    <row r="9" spans="2:62">
      <c r="B9" s="8" t="s">
        <v>18</v>
      </c>
      <c r="C9" s="150">
        <v>7.6000000000000004E-4</v>
      </c>
      <c r="D9" s="49">
        <v>99311</v>
      </c>
      <c r="E9" s="49">
        <v>76</v>
      </c>
      <c r="F9" s="49">
        <v>496395</v>
      </c>
      <c r="G9" s="49">
        <v>6872986</v>
      </c>
      <c r="H9" s="146">
        <v>69.206999999999994</v>
      </c>
    </row>
    <row r="10" spans="2:62">
      <c r="B10" s="8" t="s">
        <v>19</v>
      </c>
      <c r="C10" s="150">
        <v>1.9499999999999999E-3</v>
      </c>
      <c r="D10" s="49">
        <v>99235</v>
      </c>
      <c r="E10" s="49">
        <v>194</v>
      </c>
      <c r="F10" s="49">
        <v>495759</v>
      </c>
      <c r="G10" s="49">
        <v>6376591</v>
      </c>
      <c r="H10" s="146">
        <v>64.257000000000005</v>
      </c>
      <c r="BD10" s="147"/>
      <c r="BF10" s="147"/>
    </row>
    <row r="11" spans="2:62">
      <c r="B11" s="8" t="s">
        <v>20</v>
      </c>
      <c r="C11" s="150">
        <v>4.1099999999999999E-3</v>
      </c>
      <c r="D11" s="49">
        <v>99041</v>
      </c>
      <c r="E11" s="49">
        <v>407</v>
      </c>
      <c r="F11" s="49">
        <v>494249</v>
      </c>
      <c r="G11" s="49">
        <v>5880832</v>
      </c>
      <c r="H11" s="146">
        <v>59.378</v>
      </c>
      <c r="BD11" s="147"/>
      <c r="BF11" s="147"/>
    </row>
    <row r="12" spans="2:62">
      <c r="B12" s="8" t="s">
        <v>21</v>
      </c>
      <c r="C12" s="150">
        <v>4.9500000000000004E-3</v>
      </c>
      <c r="D12" s="49">
        <v>98634</v>
      </c>
      <c r="E12" s="49">
        <v>488</v>
      </c>
      <c r="F12" s="49">
        <v>491986</v>
      </c>
      <c r="G12" s="49">
        <v>5386583</v>
      </c>
      <c r="H12" s="146">
        <v>54.612000000000002</v>
      </c>
    </row>
    <row r="13" spans="2:62">
      <c r="B13" s="8" t="s">
        <v>22</v>
      </c>
      <c r="C13" s="150">
        <v>5.9100000000000003E-3</v>
      </c>
      <c r="D13" s="49">
        <v>98146</v>
      </c>
      <c r="E13" s="49">
        <v>581</v>
      </c>
      <c r="F13" s="49">
        <v>489316</v>
      </c>
      <c r="G13" s="49">
        <v>4894597</v>
      </c>
      <c r="H13" s="146">
        <v>49.871000000000002</v>
      </c>
    </row>
    <row r="14" spans="2:62">
      <c r="B14" s="8" t="s">
        <v>23</v>
      </c>
      <c r="C14" s="150">
        <v>6.8999999999999999E-3</v>
      </c>
      <c r="D14" s="49">
        <v>97565</v>
      </c>
      <c r="E14" s="49">
        <v>673</v>
      </c>
      <c r="F14" s="49">
        <v>486228</v>
      </c>
      <c r="G14" s="49">
        <v>4405281</v>
      </c>
      <c r="H14" s="146">
        <v>45.152000000000001</v>
      </c>
    </row>
    <row r="15" spans="2:62">
      <c r="B15" s="8" t="s">
        <v>24</v>
      </c>
      <c r="C15" s="150">
        <v>1.021E-2</v>
      </c>
      <c r="D15" s="49">
        <v>96892</v>
      </c>
      <c r="E15" s="49">
        <v>990</v>
      </c>
      <c r="F15" s="49">
        <v>482159</v>
      </c>
      <c r="G15" s="49">
        <v>3919053</v>
      </c>
      <c r="H15" s="146">
        <v>40.448</v>
      </c>
      <c r="BD15" s="147"/>
      <c r="BF15" s="147"/>
      <c r="BH15" s="147"/>
      <c r="BJ15" s="147"/>
    </row>
    <row r="16" spans="2:62">
      <c r="B16" s="8" t="s">
        <v>25</v>
      </c>
      <c r="C16" s="150">
        <v>1.566E-2</v>
      </c>
      <c r="D16" s="49">
        <v>95902</v>
      </c>
      <c r="E16" s="49">
        <v>1502</v>
      </c>
      <c r="F16" s="49">
        <v>476021</v>
      </c>
      <c r="G16" s="49">
        <v>3436894</v>
      </c>
      <c r="H16" s="146">
        <v>35.838000000000001</v>
      </c>
      <c r="AV16" s="147"/>
      <c r="AX16" s="147"/>
      <c r="BD16" s="147"/>
      <c r="BF16" s="147"/>
    </row>
    <row r="17" spans="2:9">
      <c r="B17" s="8" t="s">
        <v>26</v>
      </c>
      <c r="C17" s="150">
        <v>2.392E-2</v>
      </c>
      <c r="D17" s="49">
        <v>94400</v>
      </c>
      <c r="E17" s="49">
        <v>2258</v>
      </c>
      <c r="F17" s="49">
        <v>466681</v>
      </c>
      <c r="G17" s="49">
        <v>2960873</v>
      </c>
      <c r="H17" s="146">
        <v>31.364999999999998</v>
      </c>
    </row>
    <row r="18" spans="2:9">
      <c r="B18" s="8" t="s">
        <v>27</v>
      </c>
      <c r="C18" s="150">
        <v>3.3210000000000003E-2</v>
      </c>
      <c r="D18" s="49">
        <v>92142</v>
      </c>
      <c r="E18" s="49">
        <v>3060</v>
      </c>
      <c r="F18" s="49">
        <v>453463</v>
      </c>
      <c r="G18" s="49">
        <v>2494192</v>
      </c>
      <c r="H18" s="146">
        <v>27.068999999999999</v>
      </c>
    </row>
    <row r="19" spans="2:9">
      <c r="B19" s="8" t="s">
        <v>28</v>
      </c>
      <c r="C19" s="150">
        <v>4.675E-2</v>
      </c>
      <c r="D19" s="49">
        <v>89082</v>
      </c>
      <c r="E19" s="49">
        <v>4165</v>
      </c>
      <c r="F19" s="49">
        <v>435639</v>
      </c>
      <c r="G19" s="49">
        <v>2040729</v>
      </c>
      <c r="H19" s="146">
        <v>22.908000000000001</v>
      </c>
    </row>
    <row r="20" spans="2:9">
      <c r="B20" s="8" t="s">
        <v>29</v>
      </c>
      <c r="C20" s="150">
        <v>7.1290000000000006E-2</v>
      </c>
      <c r="D20" s="49">
        <v>84917</v>
      </c>
      <c r="E20" s="49">
        <v>6054</v>
      </c>
      <c r="F20" s="49">
        <v>410463</v>
      </c>
      <c r="G20" s="49">
        <v>1605090</v>
      </c>
      <c r="H20" s="146">
        <v>18.902000000000001</v>
      </c>
    </row>
    <row r="21" spans="2:9">
      <c r="B21" s="8" t="s">
        <v>30</v>
      </c>
      <c r="C21" s="150">
        <v>0.11192000000000001</v>
      </c>
      <c r="D21" s="49">
        <v>78863</v>
      </c>
      <c r="E21" s="49">
        <v>8826</v>
      </c>
      <c r="F21" s="49">
        <v>373611</v>
      </c>
      <c r="G21" s="49">
        <v>1194627</v>
      </c>
      <c r="H21" s="146">
        <v>15.148</v>
      </c>
    </row>
    <row r="22" spans="2:9">
      <c r="B22" s="8" t="s">
        <v>31</v>
      </c>
      <c r="C22" s="150">
        <v>0.17402000000000001</v>
      </c>
      <c r="D22" s="49">
        <v>70037</v>
      </c>
      <c r="E22" s="49">
        <v>12188</v>
      </c>
      <c r="F22" s="49">
        <v>321420</v>
      </c>
      <c r="G22" s="49">
        <v>821016</v>
      </c>
      <c r="H22" s="146">
        <v>11.723000000000001</v>
      </c>
    </row>
    <row r="23" spans="2:9">
      <c r="B23" s="8" t="s">
        <v>32</v>
      </c>
      <c r="C23" s="150">
        <v>0.27655999999999997</v>
      </c>
      <c r="D23" s="49">
        <v>57849</v>
      </c>
      <c r="E23" s="49">
        <v>15998</v>
      </c>
      <c r="F23" s="49">
        <v>252675</v>
      </c>
      <c r="G23" s="49">
        <v>499596</v>
      </c>
      <c r="H23" s="146">
        <v>8.6359999999999992</v>
      </c>
    </row>
    <row r="24" spans="2:9">
      <c r="B24" s="6" t="s">
        <v>5</v>
      </c>
      <c r="C24" s="151">
        <v>1</v>
      </c>
      <c r="D24" s="68">
        <v>41851</v>
      </c>
      <c r="E24" s="68">
        <v>41851</v>
      </c>
      <c r="F24" s="68">
        <v>246921</v>
      </c>
      <c r="G24" s="68">
        <v>246921</v>
      </c>
      <c r="H24" s="148">
        <v>5.9</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4"/>
  <sheetViews>
    <sheetView workbookViewId="0"/>
  </sheetViews>
  <sheetFormatPr defaultRowHeight="11.25" customHeight="1"/>
  <cols>
    <col min="1" max="1" width="4.1640625" style="2" customWidth="1"/>
    <col min="2" max="2" width="8.83203125" style="2" customWidth="1"/>
    <col min="3" max="3" width="15.83203125" style="2" bestFit="1" customWidth="1"/>
    <col min="4" max="4" width="13.83203125" style="2" bestFit="1" customWidth="1"/>
    <col min="5" max="5" width="10.6640625" style="2" customWidth="1"/>
    <col min="6" max="6" width="10.5" style="2" customWidth="1"/>
    <col min="7" max="7" width="13.33203125" style="2" bestFit="1" customWidth="1"/>
    <col min="8" max="8" width="9.5" style="2" customWidth="1"/>
    <col min="9" max="9" width="11.83203125" style="2" bestFit="1" customWidth="1"/>
    <col min="10" max="10" width="8.1640625" style="2" bestFit="1" customWidth="1"/>
    <col min="11" max="11" width="12.1640625" style="2" bestFit="1" customWidth="1"/>
    <col min="12" max="12" width="13.33203125" style="2" bestFit="1" customWidth="1"/>
    <col min="13" max="13" width="12.5" style="2" bestFit="1" customWidth="1"/>
    <col min="14" max="16384" width="9.33203125" style="2"/>
  </cols>
  <sheetData>
    <row r="1" spans="2:14" ht="12.75" customHeight="1"/>
    <row r="2" spans="2:14" ht="12.75" customHeight="1">
      <c r="B2" s="3" t="s">
        <v>171</v>
      </c>
      <c r="C2" s="4"/>
      <c r="D2" s="4"/>
      <c r="E2" s="4"/>
      <c r="F2" s="4"/>
      <c r="G2" s="4"/>
      <c r="H2" s="4"/>
      <c r="I2" s="4"/>
      <c r="J2" s="4"/>
      <c r="K2" s="4"/>
      <c r="L2" s="4"/>
      <c r="M2" s="4"/>
      <c r="N2" s="4"/>
    </row>
    <row r="3" spans="2:14" ht="12.75" customHeight="1">
      <c r="B3" s="5" t="s">
        <v>297</v>
      </c>
      <c r="C3" s="4"/>
      <c r="D3" s="4"/>
      <c r="E3" s="4"/>
      <c r="F3" s="4"/>
      <c r="G3" s="4"/>
      <c r="H3" s="4"/>
      <c r="I3" s="4"/>
      <c r="J3" s="4"/>
      <c r="K3" s="4"/>
      <c r="L3" s="4"/>
      <c r="M3" s="4"/>
      <c r="N3" s="4"/>
    </row>
    <row r="4" spans="2:14" ht="12.75" customHeight="1">
      <c r="B4" s="3" t="s">
        <v>565</v>
      </c>
      <c r="C4" s="4"/>
      <c r="D4" s="4"/>
      <c r="E4" s="4"/>
      <c r="F4" s="4"/>
      <c r="G4" s="4"/>
      <c r="H4" s="4"/>
      <c r="I4" s="4"/>
      <c r="J4" s="4"/>
      <c r="K4" s="4"/>
      <c r="L4" s="4"/>
      <c r="M4" s="4"/>
      <c r="N4" s="4"/>
    </row>
    <row r="5" spans="2:14" ht="15.75" customHeight="1">
      <c r="B5" s="282" t="s">
        <v>157</v>
      </c>
      <c r="C5" s="282" t="s">
        <v>285</v>
      </c>
      <c r="D5" s="282" t="s">
        <v>173</v>
      </c>
      <c r="E5" s="39" t="s">
        <v>172</v>
      </c>
      <c r="F5" s="40"/>
      <c r="G5" s="40"/>
      <c r="H5" s="58"/>
      <c r="I5" s="40"/>
      <c r="J5" s="40"/>
      <c r="K5" s="41"/>
      <c r="L5" s="282" t="s">
        <v>179</v>
      </c>
      <c r="M5" s="282" t="s">
        <v>294</v>
      </c>
    </row>
    <row r="6" spans="2:14" ht="31.5" customHeight="1">
      <c r="B6" s="283"/>
      <c r="C6" s="283"/>
      <c r="D6" s="283"/>
      <c r="E6" s="34" t="s">
        <v>174</v>
      </c>
      <c r="F6" s="34" t="s">
        <v>295</v>
      </c>
      <c r="G6" s="53" t="s">
        <v>296</v>
      </c>
      <c r="H6" s="54" t="s">
        <v>175</v>
      </c>
      <c r="I6" s="34" t="s">
        <v>176</v>
      </c>
      <c r="J6" s="34" t="s">
        <v>177</v>
      </c>
      <c r="K6" s="34" t="s">
        <v>178</v>
      </c>
      <c r="L6" s="283"/>
      <c r="M6" s="283"/>
    </row>
    <row r="7" spans="2:14" ht="15" customHeight="1">
      <c r="B7" s="8" t="s">
        <v>158</v>
      </c>
      <c r="C7" s="22">
        <v>2420982</v>
      </c>
      <c r="D7" s="22">
        <v>43699</v>
      </c>
      <c r="E7" s="22">
        <v>32453</v>
      </c>
      <c r="F7" s="22">
        <v>6866</v>
      </c>
      <c r="G7" s="24"/>
      <c r="H7" s="24"/>
      <c r="I7" s="24"/>
      <c r="J7" s="22">
        <v>1325</v>
      </c>
      <c r="K7" s="22">
        <v>452</v>
      </c>
      <c r="L7" s="22">
        <v>23295</v>
      </c>
      <c r="M7" s="22">
        <v>2435</v>
      </c>
    </row>
    <row r="8" spans="2:14" ht="15" customHeight="1">
      <c r="B8" s="8" t="s">
        <v>180</v>
      </c>
      <c r="C8" s="22">
        <v>2459901</v>
      </c>
      <c r="D8" s="22">
        <v>43221</v>
      </c>
      <c r="E8" s="22">
        <v>32834</v>
      </c>
      <c r="F8" s="22">
        <v>6319</v>
      </c>
      <c r="G8" s="24"/>
      <c r="H8" s="24"/>
      <c r="I8" s="24"/>
      <c r="J8" s="22">
        <v>1501</v>
      </c>
      <c r="K8" s="22">
        <v>531</v>
      </c>
      <c r="L8" s="22">
        <v>24079</v>
      </c>
      <c r="M8" s="22">
        <v>2448</v>
      </c>
    </row>
    <row r="9" spans="2:14" ht="15" customHeight="1">
      <c r="B9" s="8" t="s">
        <v>181</v>
      </c>
      <c r="C9" s="22">
        <v>2498820</v>
      </c>
      <c r="D9" s="22">
        <v>45546</v>
      </c>
      <c r="E9" s="22">
        <v>31472</v>
      </c>
      <c r="F9" s="22">
        <v>5949</v>
      </c>
      <c r="G9" s="24"/>
      <c r="H9" s="24"/>
      <c r="I9" s="24"/>
      <c r="J9" s="22">
        <v>1793</v>
      </c>
      <c r="K9" s="22">
        <v>468</v>
      </c>
      <c r="L9" s="22">
        <v>25653</v>
      </c>
      <c r="M9" s="22">
        <v>2828</v>
      </c>
    </row>
    <row r="10" spans="2:14" ht="15" customHeight="1">
      <c r="B10" s="8" t="s">
        <v>182</v>
      </c>
      <c r="C10" s="22">
        <v>2537739</v>
      </c>
      <c r="D10" s="22">
        <v>46020</v>
      </c>
      <c r="E10" s="22">
        <v>33176</v>
      </c>
      <c r="F10" s="22">
        <v>6488</v>
      </c>
      <c r="G10" s="24"/>
      <c r="H10" s="24"/>
      <c r="I10" s="24"/>
      <c r="J10" s="22">
        <v>1814</v>
      </c>
      <c r="K10" s="22">
        <v>427</v>
      </c>
      <c r="L10" s="22">
        <v>26029</v>
      </c>
      <c r="M10" s="22">
        <v>2945</v>
      </c>
    </row>
    <row r="11" spans="2:14" ht="15" customHeight="1">
      <c r="B11" s="8" t="s">
        <v>183</v>
      </c>
      <c r="C11" s="22">
        <v>2576658</v>
      </c>
      <c r="D11" s="22">
        <v>47508</v>
      </c>
      <c r="E11" s="22">
        <v>34494</v>
      </c>
      <c r="F11" s="22">
        <v>6419</v>
      </c>
      <c r="G11" s="24"/>
      <c r="H11" s="24"/>
      <c r="I11" s="24"/>
      <c r="J11" s="22">
        <v>1911</v>
      </c>
      <c r="K11" s="22">
        <v>436</v>
      </c>
      <c r="L11" s="22">
        <v>24918</v>
      </c>
      <c r="M11" s="22">
        <v>2808</v>
      </c>
    </row>
    <row r="12" spans="2:14" ht="15" customHeight="1">
      <c r="B12" s="8" t="s">
        <v>184</v>
      </c>
      <c r="C12" s="22">
        <v>2615578</v>
      </c>
      <c r="D12" s="22">
        <v>46976</v>
      </c>
      <c r="E12" s="22">
        <v>34679</v>
      </c>
      <c r="F12" s="22">
        <v>8054</v>
      </c>
      <c r="G12" s="24"/>
      <c r="H12" s="24"/>
      <c r="I12" s="24"/>
      <c r="J12" s="22">
        <v>2044</v>
      </c>
      <c r="K12" s="22">
        <v>416</v>
      </c>
      <c r="L12" s="22">
        <v>26307</v>
      </c>
      <c r="M12" s="22">
        <v>2825</v>
      </c>
    </row>
    <row r="13" spans="2:14" ht="15" customHeight="1">
      <c r="B13" s="8" t="s">
        <v>185</v>
      </c>
      <c r="C13" s="22">
        <v>2654497</v>
      </c>
      <c r="D13" s="22">
        <v>58599</v>
      </c>
      <c r="E13" s="22">
        <v>37033</v>
      </c>
      <c r="F13" s="22">
        <v>7952</v>
      </c>
      <c r="G13" s="24"/>
      <c r="H13" s="24"/>
      <c r="I13" s="24"/>
      <c r="J13" s="22">
        <v>2358</v>
      </c>
      <c r="K13" s="22">
        <v>400</v>
      </c>
      <c r="L13" s="22">
        <v>27519</v>
      </c>
      <c r="M13" s="22">
        <v>3192</v>
      </c>
    </row>
    <row r="14" spans="2:14" ht="15" customHeight="1">
      <c r="B14" s="8" t="s">
        <v>186</v>
      </c>
      <c r="C14" s="22">
        <v>2693416</v>
      </c>
      <c r="D14" s="22">
        <v>59029</v>
      </c>
      <c r="E14" s="22">
        <v>36701</v>
      </c>
      <c r="F14" s="22">
        <v>6906</v>
      </c>
      <c r="G14" s="24"/>
      <c r="H14" s="24"/>
      <c r="I14" s="24"/>
      <c r="J14" s="22">
        <v>2358</v>
      </c>
      <c r="K14" s="22">
        <v>391</v>
      </c>
      <c r="L14" s="22">
        <v>27940</v>
      </c>
      <c r="M14" s="22">
        <v>3107</v>
      </c>
    </row>
    <row r="15" spans="2:14" ht="15" customHeight="1">
      <c r="B15" s="8" t="s">
        <v>187</v>
      </c>
      <c r="C15" s="22">
        <v>2732335</v>
      </c>
      <c r="D15" s="22">
        <v>64772</v>
      </c>
      <c r="E15" s="22">
        <v>36761</v>
      </c>
      <c r="F15" s="22">
        <v>7697</v>
      </c>
      <c r="G15" s="24"/>
      <c r="H15" s="24"/>
      <c r="I15" s="24"/>
      <c r="J15" s="22">
        <v>2694</v>
      </c>
      <c r="K15" s="22">
        <v>440</v>
      </c>
      <c r="L15" s="22">
        <v>25765</v>
      </c>
      <c r="M15" s="22">
        <v>3020</v>
      </c>
    </row>
    <row r="16" spans="2:14" ht="15" customHeight="1">
      <c r="B16" s="8" t="s">
        <v>188</v>
      </c>
      <c r="C16" s="22">
        <v>2771254</v>
      </c>
      <c r="D16" s="22">
        <v>64323</v>
      </c>
      <c r="E16" s="22">
        <v>36313</v>
      </c>
      <c r="F16" s="22">
        <v>7443</v>
      </c>
      <c r="G16" s="24"/>
      <c r="H16" s="24"/>
      <c r="I16" s="24"/>
      <c r="J16" s="22">
        <v>2540</v>
      </c>
      <c r="K16" s="22">
        <v>405</v>
      </c>
      <c r="L16" s="22">
        <v>27353</v>
      </c>
      <c r="M16" s="22">
        <v>3516</v>
      </c>
    </row>
    <row r="17" spans="2:13" ht="15" customHeight="1">
      <c r="B17" s="11"/>
      <c r="C17" s="22"/>
      <c r="D17" s="22"/>
      <c r="E17" s="22"/>
      <c r="F17" s="22"/>
      <c r="G17" s="24"/>
      <c r="H17" s="24"/>
      <c r="I17" s="24"/>
      <c r="J17" s="22"/>
      <c r="K17" s="22"/>
      <c r="L17" s="22"/>
      <c r="M17" s="22"/>
    </row>
    <row r="18" spans="2:13" ht="15" customHeight="1">
      <c r="B18" s="8" t="s">
        <v>159</v>
      </c>
      <c r="C18" s="22">
        <v>2810173</v>
      </c>
      <c r="D18" s="22">
        <v>64109</v>
      </c>
      <c r="E18" s="22">
        <v>39913</v>
      </c>
      <c r="F18" s="22">
        <v>7998</v>
      </c>
      <c r="G18" s="24"/>
      <c r="H18" s="24"/>
      <c r="I18" s="24"/>
      <c r="J18" s="22">
        <v>2559</v>
      </c>
      <c r="K18" s="22">
        <v>431</v>
      </c>
      <c r="L18" s="22">
        <v>29039</v>
      </c>
      <c r="M18" s="22">
        <v>3716</v>
      </c>
    </row>
    <row r="19" spans="2:13" ht="15" customHeight="1">
      <c r="B19" s="8" t="s">
        <v>189</v>
      </c>
      <c r="C19" s="22">
        <v>2895997</v>
      </c>
      <c r="D19" s="22">
        <v>65756</v>
      </c>
      <c r="E19" s="22">
        <v>38007</v>
      </c>
      <c r="F19" s="22">
        <v>7131</v>
      </c>
      <c r="G19" s="24"/>
      <c r="H19" s="24"/>
      <c r="I19" s="24"/>
      <c r="J19" s="22">
        <v>2716</v>
      </c>
      <c r="K19" s="22">
        <v>451</v>
      </c>
      <c r="L19" s="22">
        <v>29859</v>
      </c>
      <c r="M19" s="22">
        <v>4125</v>
      </c>
    </row>
    <row r="20" spans="2:13" ht="15" customHeight="1">
      <c r="B20" s="8" t="s">
        <v>190</v>
      </c>
      <c r="C20" s="22">
        <v>2981821</v>
      </c>
      <c r="D20" s="22">
        <v>69537</v>
      </c>
      <c r="E20" s="22">
        <v>38804</v>
      </c>
      <c r="F20" s="22">
        <v>6985</v>
      </c>
      <c r="G20" s="24"/>
      <c r="H20" s="24"/>
      <c r="I20" s="24"/>
      <c r="J20" s="22">
        <v>2906</v>
      </c>
      <c r="K20" s="22">
        <v>396</v>
      </c>
      <c r="L20" s="22">
        <v>31694</v>
      </c>
      <c r="M20" s="22">
        <v>3838</v>
      </c>
    </row>
    <row r="21" spans="2:13" ht="15" customHeight="1">
      <c r="B21" s="8" t="s">
        <v>191</v>
      </c>
      <c r="C21" s="22">
        <v>3067645</v>
      </c>
      <c r="D21" s="22">
        <v>73058</v>
      </c>
      <c r="E21" s="22">
        <v>40827</v>
      </c>
      <c r="F21" s="22">
        <v>7659</v>
      </c>
      <c r="G21" s="24"/>
      <c r="H21" s="24"/>
      <c r="I21" s="24"/>
      <c r="J21" s="22">
        <v>2953</v>
      </c>
      <c r="K21" s="22">
        <v>528</v>
      </c>
      <c r="L21" s="22">
        <v>33529</v>
      </c>
      <c r="M21" s="22">
        <v>3978</v>
      </c>
    </row>
    <row r="22" spans="2:13" ht="15" customHeight="1">
      <c r="B22" s="8" t="s">
        <v>192</v>
      </c>
      <c r="C22" s="22">
        <v>3153469</v>
      </c>
      <c r="D22" s="22">
        <v>76761</v>
      </c>
      <c r="E22" s="22">
        <v>39906</v>
      </c>
      <c r="F22" s="22">
        <v>7431</v>
      </c>
      <c r="G22" s="24"/>
      <c r="H22" s="24"/>
      <c r="I22" s="24"/>
      <c r="J22" s="22">
        <v>3113</v>
      </c>
      <c r="K22" s="22">
        <v>507</v>
      </c>
      <c r="L22" s="22">
        <v>35316</v>
      </c>
      <c r="M22" s="22">
        <v>4395</v>
      </c>
    </row>
    <row r="23" spans="2:13" ht="15" customHeight="1">
      <c r="B23" s="8" t="s">
        <v>193</v>
      </c>
      <c r="C23" s="22">
        <v>3239293</v>
      </c>
      <c r="D23" s="22">
        <v>81100</v>
      </c>
      <c r="E23" s="22">
        <v>40441</v>
      </c>
      <c r="F23" s="22">
        <v>6943</v>
      </c>
      <c r="G23" s="24"/>
      <c r="H23" s="24"/>
      <c r="I23" s="24"/>
      <c r="J23" s="22">
        <v>3357</v>
      </c>
      <c r="K23" s="22">
        <v>488</v>
      </c>
      <c r="L23" s="22">
        <v>35527</v>
      </c>
      <c r="M23" s="22">
        <v>4757</v>
      </c>
    </row>
    <row r="24" spans="2:13" ht="15" customHeight="1">
      <c r="B24" s="8" t="s">
        <v>194</v>
      </c>
      <c r="C24" s="22">
        <v>3325116</v>
      </c>
      <c r="D24" s="22">
        <v>87062</v>
      </c>
      <c r="E24" s="22">
        <v>46047</v>
      </c>
      <c r="F24" s="22">
        <v>8415</v>
      </c>
      <c r="G24" s="24"/>
      <c r="H24" s="24"/>
      <c r="I24" s="24"/>
      <c r="J24" s="22">
        <v>3689</v>
      </c>
      <c r="K24" s="22">
        <v>503</v>
      </c>
      <c r="L24" s="22">
        <v>40143</v>
      </c>
      <c r="M24" s="22">
        <v>5540</v>
      </c>
    </row>
    <row r="25" spans="2:13" ht="15" customHeight="1">
      <c r="B25" s="8" t="s">
        <v>195</v>
      </c>
      <c r="C25" s="22">
        <v>3410940</v>
      </c>
      <c r="D25" s="22">
        <v>89419</v>
      </c>
      <c r="E25" s="22">
        <v>47236</v>
      </c>
      <c r="F25" s="22">
        <v>7916</v>
      </c>
      <c r="G25" s="24"/>
      <c r="H25" s="24"/>
      <c r="I25" s="24"/>
      <c r="J25" s="22">
        <v>3550</v>
      </c>
      <c r="K25" s="22">
        <v>586</v>
      </c>
      <c r="L25" s="22">
        <v>42791</v>
      </c>
      <c r="M25" s="22">
        <v>5627</v>
      </c>
    </row>
    <row r="26" spans="2:13" ht="15" customHeight="1">
      <c r="B26" s="8" t="s">
        <v>196</v>
      </c>
      <c r="C26" s="22">
        <v>3496764</v>
      </c>
      <c r="D26" s="22">
        <v>91261</v>
      </c>
      <c r="E26" s="22">
        <v>54617</v>
      </c>
      <c r="F26" s="22">
        <v>8197</v>
      </c>
      <c r="G26" s="24"/>
      <c r="H26" s="24"/>
      <c r="I26" s="24"/>
      <c r="J26" s="22">
        <v>3686</v>
      </c>
      <c r="K26" s="22">
        <v>709</v>
      </c>
      <c r="L26" s="22">
        <v>33260</v>
      </c>
      <c r="M26" s="22">
        <v>5493</v>
      </c>
    </row>
    <row r="27" spans="2:13" ht="15" customHeight="1">
      <c r="B27" s="8" t="s">
        <v>197</v>
      </c>
      <c r="C27" s="22">
        <v>3582588</v>
      </c>
      <c r="D27" s="22">
        <v>84062</v>
      </c>
      <c r="E27" s="22">
        <v>45636</v>
      </c>
      <c r="F27" s="22">
        <v>7560</v>
      </c>
      <c r="G27" s="24"/>
      <c r="H27" s="24"/>
      <c r="I27" s="24"/>
      <c r="J27" s="22">
        <v>3361</v>
      </c>
      <c r="K27" s="22">
        <v>578</v>
      </c>
      <c r="L27" s="22">
        <v>45579</v>
      </c>
      <c r="M27" s="22">
        <v>7469</v>
      </c>
    </row>
    <row r="28" spans="2:13" ht="15" customHeight="1">
      <c r="B28" s="11"/>
      <c r="C28" s="22"/>
      <c r="D28" s="22"/>
      <c r="E28" s="22"/>
      <c r="F28" s="22"/>
      <c r="G28" s="24"/>
      <c r="H28" s="24"/>
      <c r="I28" s="24"/>
      <c r="J28" s="22"/>
      <c r="K28" s="22"/>
      <c r="L28" s="22"/>
      <c r="M28" s="22"/>
    </row>
    <row r="29" spans="2:13" ht="15" customHeight="1">
      <c r="B29" s="8" t="s">
        <v>160</v>
      </c>
      <c r="C29" s="22">
        <v>3668412</v>
      </c>
      <c r="D29" s="22">
        <v>92245</v>
      </c>
      <c r="E29" s="22">
        <v>51982</v>
      </c>
      <c r="F29" s="22">
        <v>8587</v>
      </c>
      <c r="G29" s="24"/>
      <c r="H29" s="24"/>
      <c r="I29" s="24"/>
      <c r="J29" s="22">
        <v>3770</v>
      </c>
      <c r="K29" s="22">
        <v>795</v>
      </c>
      <c r="L29" s="22">
        <v>50805</v>
      </c>
      <c r="M29" s="22">
        <v>8679</v>
      </c>
    </row>
    <row r="30" spans="2:13" ht="15" customHeight="1">
      <c r="B30" s="8" t="s">
        <v>198</v>
      </c>
      <c r="C30" s="22">
        <v>3785799</v>
      </c>
      <c r="D30" s="22">
        <v>96035</v>
      </c>
      <c r="E30" s="22">
        <v>44186</v>
      </c>
      <c r="F30" s="22">
        <v>7584</v>
      </c>
      <c r="G30" s="24"/>
      <c r="H30" s="24"/>
      <c r="I30" s="24"/>
      <c r="J30" s="22">
        <v>3669</v>
      </c>
      <c r="K30" s="22">
        <v>605</v>
      </c>
      <c r="L30" s="22">
        <v>41508</v>
      </c>
      <c r="M30" s="22">
        <v>7676</v>
      </c>
    </row>
    <row r="31" spans="2:13" ht="15" customHeight="1">
      <c r="B31" s="8" t="s">
        <v>199</v>
      </c>
      <c r="C31" s="22">
        <v>3903186</v>
      </c>
      <c r="D31" s="22">
        <v>90042</v>
      </c>
      <c r="E31" s="22">
        <v>43817</v>
      </c>
      <c r="F31" s="22">
        <v>6730</v>
      </c>
      <c r="G31" s="24"/>
      <c r="H31" s="24"/>
      <c r="I31" s="24"/>
      <c r="J31" s="22">
        <v>3779</v>
      </c>
      <c r="K31" s="22">
        <v>551</v>
      </c>
      <c r="L31" s="22">
        <v>43561</v>
      </c>
      <c r="M31" s="22">
        <v>7591</v>
      </c>
    </row>
    <row r="32" spans="2:13" ht="15" customHeight="1">
      <c r="B32" s="8" t="s">
        <v>200</v>
      </c>
      <c r="C32" s="22">
        <v>4020573</v>
      </c>
      <c r="D32" s="22">
        <v>92956</v>
      </c>
      <c r="E32" s="22">
        <v>49333</v>
      </c>
      <c r="F32" s="22">
        <v>7477</v>
      </c>
      <c r="G32" s="24"/>
      <c r="H32" s="24"/>
      <c r="I32" s="24"/>
      <c r="J32" s="22">
        <v>3657</v>
      </c>
      <c r="K32" s="22">
        <v>583</v>
      </c>
      <c r="L32" s="22">
        <v>49569</v>
      </c>
      <c r="M32" s="22">
        <v>8745</v>
      </c>
    </row>
    <row r="33" spans="2:13" ht="15" customHeight="1">
      <c r="B33" s="8" t="s">
        <v>201</v>
      </c>
      <c r="C33" s="22">
        <v>4137960</v>
      </c>
      <c r="D33" s="22">
        <v>98187</v>
      </c>
      <c r="E33" s="22">
        <v>47304</v>
      </c>
      <c r="F33" s="22">
        <v>7088</v>
      </c>
      <c r="G33" s="22">
        <v>4119</v>
      </c>
      <c r="H33" s="22">
        <v>2969</v>
      </c>
      <c r="I33" s="22">
        <v>6791</v>
      </c>
      <c r="J33" s="22">
        <v>3703</v>
      </c>
      <c r="K33" s="22">
        <v>636</v>
      </c>
      <c r="L33" s="22">
        <v>49788</v>
      </c>
      <c r="M33" s="22">
        <v>9400</v>
      </c>
    </row>
    <row r="34" spans="2:13" ht="15" customHeight="1">
      <c r="B34" s="8" t="s">
        <v>202</v>
      </c>
      <c r="C34" s="22">
        <v>4255347</v>
      </c>
      <c r="D34" s="22">
        <v>98983</v>
      </c>
      <c r="E34" s="22">
        <v>49417</v>
      </c>
      <c r="F34" s="22">
        <v>7498</v>
      </c>
      <c r="G34" s="22">
        <v>4022</v>
      </c>
      <c r="H34" s="22">
        <v>3476</v>
      </c>
      <c r="I34" s="22">
        <v>6667</v>
      </c>
      <c r="J34" s="22">
        <v>3670</v>
      </c>
      <c r="K34" s="22">
        <v>629</v>
      </c>
      <c r="L34" s="22">
        <v>46276</v>
      </c>
      <c r="M34" s="22">
        <v>9650</v>
      </c>
    </row>
    <row r="35" spans="2:13" ht="15" customHeight="1">
      <c r="B35" s="8" t="s">
        <v>203</v>
      </c>
      <c r="C35" s="22">
        <v>4372734</v>
      </c>
      <c r="D35" s="22">
        <v>98289</v>
      </c>
      <c r="E35" s="22">
        <v>54080</v>
      </c>
      <c r="F35" s="22">
        <v>7620</v>
      </c>
      <c r="G35" s="22">
        <v>4054</v>
      </c>
      <c r="H35" s="22">
        <v>3566</v>
      </c>
      <c r="I35" s="22">
        <v>6773</v>
      </c>
      <c r="J35" s="22">
        <v>3816</v>
      </c>
      <c r="K35" s="22">
        <v>631</v>
      </c>
      <c r="L35" s="22">
        <v>39788</v>
      </c>
      <c r="M35" s="22">
        <v>9795</v>
      </c>
    </row>
    <row r="36" spans="2:13" ht="15" customHeight="1">
      <c r="B36" s="8" t="s">
        <v>204</v>
      </c>
      <c r="C36" s="22">
        <v>4490121</v>
      </c>
      <c r="D36" s="22">
        <v>99940</v>
      </c>
      <c r="E36" s="22">
        <v>50600</v>
      </c>
      <c r="F36" s="22">
        <v>6766</v>
      </c>
      <c r="G36" s="22">
        <v>3915</v>
      </c>
      <c r="H36" s="22">
        <v>2851</v>
      </c>
      <c r="I36" s="22">
        <v>6794</v>
      </c>
      <c r="J36" s="22">
        <v>3834</v>
      </c>
      <c r="K36" s="22">
        <v>667</v>
      </c>
      <c r="L36" s="22">
        <v>36276</v>
      </c>
      <c r="M36" s="22">
        <v>10617</v>
      </c>
    </row>
    <row r="37" spans="2:13" ht="15" customHeight="1">
      <c r="B37" s="8" t="s">
        <v>205</v>
      </c>
      <c r="C37" s="22">
        <v>4607508</v>
      </c>
      <c r="D37" s="22">
        <v>97462</v>
      </c>
      <c r="E37" s="22">
        <v>54755</v>
      </c>
      <c r="F37" s="22">
        <v>6806</v>
      </c>
      <c r="G37" s="22">
        <v>3739</v>
      </c>
      <c r="H37" s="22">
        <v>3067</v>
      </c>
      <c r="I37" s="22">
        <v>6594</v>
      </c>
      <c r="J37" s="22">
        <v>3701</v>
      </c>
      <c r="K37" s="22">
        <v>603</v>
      </c>
      <c r="L37" s="22">
        <v>37300</v>
      </c>
      <c r="M37" s="22">
        <v>10615</v>
      </c>
    </row>
    <row r="38" spans="2:13" ht="15" customHeight="1">
      <c r="B38" s="8" t="s">
        <v>206</v>
      </c>
      <c r="C38" s="22">
        <v>4724895</v>
      </c>
      <c r="D38" s="22">
        <v>98695</v>
      </c>
      <c r="E38" s="22">
        <v>56117</v>
      </c>
      <c r="F38" s="22">
        <v>6605</v>
      </c>
      <c r="G38" s="22">
        <v>3777</v>
      </c>
      <c r="H38" s="22">
        <v>2828</v>
      </c>
      <c r="I38" s="22">
        <v>6613</v>
      </c>
      <c r="J38" s="22">
        <v>3710</v>
      </c>
      <c r="K38" s="22">
        <v>617</v>
      </c>
      <c r="L38" s="22">
        <v>36816</v>
      </c>
      <c r="M38" s="22">
        <v>12094</v>
      </c>
    </row>
    <row r="39" spans="2:13" ht="15" customHeight="1">
      <c r="B39" s="11"/>
      <c r="C39" s="22"/>
      <c r="D39" s="22"/>
      <c r="E39" s="22"/>
      <c r="F39" s="22"/>
      <c r="G39" s="22"/>
      <c r="H39" s="22"/>
      <c r="I39" s="22"/>
      <c r="J39" s="22"/>
      <c r="K39" s="22"/>
      <c r="L39" s="22"/>
      <c r="M39" s="22"/>
    </row>
    <row r="40" spans="2:13" ht="15" customHeight="1">
      <c r="B40" s="8" t="s">
        <v>161</v>
      </c>
      <c r="C40" s="22">
        <v>4842325</v>
      </c>
      <c r="D40" s="22">
        <v>98882</v>
      </c>
      <c r="E40" s="22">
        <v>51561</v>
      </c>
      <c r="F40" s="22">
        <v>6213</v>
      </c>
      <c r="G40" s="22">
        <v>3624</v>
      </c>
      <c r="H40" s="22">
        <v>2589</v>
      </c>
      <c r="I40" s="22">
        <v>6518</v>
      </c>
      <c r="J40" s="22">
        <v>3714</v>
      </c>
      <c r="K40" s="22">
        <v>597</v>
      </c>
      <c r="L40" s="22">
        <v>29482</v>
      </c>
      <c r="M40" s="22">
        <v>10639</v>
      </c>
    </row>
    <row r="41" spans="2:13" ht="15" customHeight="1">
      <c r="B41" s="8" t="s">
        <v>207</v>
      </c>
      <c r="C41" s="22">
        <v>4883703</v>
      </c>
      <c r="D41" s="22">
        <v>90547</v>
      </c>
      <c r="E41" s="22">
        <v>49068</v>
      </c>
      <c r="F41" s="22">
        <v>5187</v>
      </c>
      <c r="G41" s="22">
        <v>3084</v>
      </c>
      <c r="H41" s="22">
        <v>2103</v>
      </c>
      <c r="I41" s="22">
        <v>5643</v>
      </c>
      <c r="J41" s="22">
        <v>3220</v>
      </c>
      <c r="K41" s="22">
        <v>539</v>
      </c>
      <c r="L41" s="22">
        <v>28856</v>
      </c>
      <c r="M41" s="22">
        <v>9507</v>
      </c>
    </row>
    <row r="42" spans="2:13" ht="15" customHeight="1">
      <c r="B42" s="8" t="s">
        <v>208</v>
      </c>
      <c r="C42" s="22">
        <v>4925081</v>
      </c>
      <c r="D42" s="22">
        <v>85254</v>
      </c>
      <c r="E42" s="22">
        <v>49569</v>
      </c>
      <c r="F42" s="22">
        <v>4630</v>
      </c>
      <c r="G42" s="22">
        <v>2798</v>
      </c>
      <c r="H42" s="22">
        <v>1832</v>
      </c>
      <c r="I42" s="22">
        <v>5210</v>
      </c>
      <c r="J42" s="22">
        <v>2980</v>
      </c>
      <c r="K42" s="22">
        <v>493</v>
      </c>
      <c r="L42" s="22">
        <v>28552</v>
      </c>
      <c r="M42" s="22">
        <v>7889</v>
      </c>
    </row>
    <row r="43" spans="2:13" ht="15" customHeight="1">
      <c r="B43" s="8" t="s">
        <v>209</v>
      </c>
      <c r="C43" s="22">
        <v>4966459</v>
      </c>
      <c r="D43" s="22">
        <v>80482</v>
      </c>
      <c r="E43" s="22">
        <v>48507</v>
      </c>
      <c r="F43" s="22">
        <v>4094</v>
      </c>
      <c r="G43" s="22">
        <v>2591</v>
      </c>
      <c r="H43" s="22">
        <v>1503</v>
      </c>
      <c r="I43" s="22">
        <v>4906</v>
      </c>
      <c r="J43" s="22">
        <v>2776</v>
      </c>
      <c r="K43" s="22">
        <v>447</v>
      </c>
      <c r="L43" s="22">
        <v>33132</v>
      </c>
      <c r="M43" s="22">
        <v>7671</v>
      </c>
    </row>
    <row r="44" spans="2:13" ht="15" customHeight="1">
      <c r="B44" s="8" t="s">
        <v>210</v>
      </c>
      <c r="C44" s="22">
        <v>5007837</v>
      </c>
      <c r="D44" s="22">
        <v>83944</v>
      </c>
      <c r="E44" s="22">
        <v>50440</v>
      </c>
      <c r="F44" s="22">
        <v>4377</v>
      </c>
      <c r="G44" s="22">
        <v>2717</v>
      </c>
      <c r="H44" s="22">
        <v>1660</v>
      </c>
      <c r="I44" s="22">
        <v>4781</v>
      </c>
      <c r="J44" s="22">
        <v>2607</v>
      </c>
      <c r="K44" s="22">
        <v>450</v>
      </c>
      <c r="L44" s="22">
        <v>43241</v>
      </c>
      <c r="M44" s="22">
        <v>10124</v>
      </c>
    </row>
    <row r="45" spans="2:13" ht="15" customHeight="1">
      <c r="B45" s="8" t="s">
        <v>211</v>
      </c>
      <c r="C45" s="22">
        <v>5049216</v>
      </c>
      <c r="D45" s="22">
        <v>87403</v>
      </c>
      <c r="E45" s="22">
        <v>51051</v>
      </c>
      <c r="F45" s="22">
        <v>4170</v>
      </c>
      <c r="G45" s="22">
        <v>2550</v>
      </c>
      <c r="H45" s="22">
        <v>1620</v>
      </c>
      <c r="I45" s="22">
        <v>4832</v>
      </c>
      <c r="J45" s="22">
        <v>2717</v>
      </c>
      <c r="K45" s="22">
        <v>438</v>
      </c>
      <c r="L45" s="22">
        <v>45313</v>
      </c>
      <c r="M45" s="22">
        <v>10844</v>
      </c>
    </row>
    <row r="46" spans="2:13" ht="15" customHeight="1">
      <c r="B46" s="8" t="s">
        <v>212</v>
      </c>
      <c r="C46" s="22">
        <v>5090594</v>
      </c>
      <c r="D46" s="22">
        <v>88457</v>
      </c>
      <c r="E46" s="22">
        <v>54777</v>
      </c>
      <c r="F46" s="22">
        <v>4479</v>
      </c>
      <c r="G46" s="22">
        <v>2647</v>
      </c>
      <c r="H46" s="22">
        <v>1832</v>
      </c>
      <c r="I46" s="22">
        <v>4726</v>
      </c>
      <c r="J46" s="22">
        <v>2625</v>
      </c>
      <c r="K46" s="22">
        <v>425</v>
      </c>
      <c r="L46" s="22">
        <v>47023</v>
      </c>
      <c r="M46" s="22">
        <v>11419</v>
      </c>
    </row>
    <row r="47" spans="2:13" ht="15" customHeight="1">
      <c r="B47" s="8" t="s">
        <v>213</v>
      </c>
      <c r="C47" s="22">
        <v>5131972</v>
      </c>
      <c r="D47" s="22">
        <v>91566</v>
      </c>
      <c r="E47" s="22">
        <v>53468</v>
      </c>
      <c r="F47" s="22">
        <v>4374</v>
      </c>
      <c r="G47" s="22">
        <v>2700</v>
      </c>
      <c r="H47" s="22">
        <v>1674</v>
      </c>
      <c r="I47" s="22">
        <v>4919</v>
      </c>
      <c r="J47" s="22">
        <v>2707</v>
      </c>
      <c r="K47" s="22">
        <v>326</v>
      </c>
      <c r="L47" s="22">
        <v>47954</v>
      </c>
      <c r="M47" s="22">
        <v>12472</v>
      </c>
    </row>
    <row r="48" spans="2:13" ht="15" customHeight="1">
      <c r="B48" s="8" t="s">
        <v>214</v>
      </c>
      <c r="C48" s="22">
        <v>5173350</v>
      </c>
      <c r="D48" s="22">
        <v>96962</v>
      </c>
      <c r="E48" s="22">
        <v>50678</v>
      </c>
      <c r="F48" s="22">
        <v>4319</v>
      </c>
      <c r="G48" s="22">
        <v>2734</v>
      </c>
      <c r="H48" s="22">
        <v>1585</v>
      </c>
      <c r="I48" s="22">
        <v>4984</v>
      </c>
      <c r="J48" s="22">
        <v>2732</v>
      </c>
      <c r="K48" s="22">
        <v>345</v>
      </c>
      <c r="L48" s="22">
        <v>30105</v>
      </c>
      <c r="M48" s="22">
        <v>10646</v>
      </c>
    </row>
    <row r="49" spans="2:13" ht="15" customHeight="1">
      <c r="B49" s="8" t="s">
        <v>215</v>
      </c>
      <c r="C49" s="22">
        <v>5214728</v>
      </c>
      <c r="D49" s="22">
        <v>94432</v>
      </c>
      <c r="E49" s="22">
        <v>52017</v>
      </c>
      <c r="F49" s="22">
        <v>3952</v>
      </c>
      <c r="G49" s="22">
        <v>2594</v>
      </c>
      <c r="H49" s="22">
        <v>1358</v>
      </c>
      <c r="I49" s="22">
        <v>4706</v>
      </c>
      <c r="J49" s="22">
        <v>2572</v>
      </c>
      <c r="K49" s="22">
        <v>280</v>
      </c>
      <c r="L49" s="22">
        <v>37725</v>
      </c>
      <c r="M49" s="22">
        <v>11589</v>
      </c>
    </row>
    <row r="50" spans="2:13" ht="15" customHeight="1">
      <c r="B50" s="11"/>
      <c r="C50" s="22"/>
      <c r="D50" s="22"/>
      <c r="E50" s="22"/>
      <c r="F50" s="22"/>
      <c r="G50" s="22"/>
      <c r="H50" s="22"/>
      <c r="I50" s="22"/>
      <c r="J50" s="22"/>
      <c r="K50" s="22"/>
      <c r="L50" s="22"/>
      <c r="M50" s="22"/>
    </row>
    <row r="51" spans="2:13" ht="15" customHeight="1">
      <c r="B51" s="8" t="s">
        <v>162</v>
      </c>
      <c r="C51" s="22">
        <v>5256106</v>
      </c>
      <c r="D51" s="22">
        <v>99106</v>
      </c>
      <c r="E51" s="22">
        <v>52092</v>
      </c>
      <c r="F51" s="22">
        <v>4022</v>
      </c>
      <c r="G51" s="22">
        <v>2629</v>
      </c>
      <c r="H51" s="22">
        <v>1393</v>
      </c>
      <c r="I51" s="22">
        <v>4749</v>
      </c>
      <c r="J51" s="22">
        <v>2602</v>
      </c>
      <c r="K51" s="22">
        <v>292</v>
      </c>
      <c r="L51" s="22">
        <v>46342</v>
      </c>
      <c r="M51" s="22">
        <v>12054</v>
      </c>
    </row>
    <row r="52" spans="2:13" ht="15" customHeight="1">
      <c r="B52" s="8" t="s">
        <v>216</v>
      </c>
      <c r="C52" s="22">
        <v>5437546</v>
      </c>
      <c r="D52" s="22">
        <v>107498</v>
      </c>
      <c r="E52" s="22">
        <v>52671</v>
      </c>
      <c r="F52" s="22">
        <v>4166</v>
      </c>
      <c r="G52" s="22">
        <v>2687</v>
      </c>
      <c r="H52" s="22">
        <v>1479</v>
      </c>
      <c r="I52" s="22">
        <v>4991</v>
      </c>
      <c r="J52" s="22">
        <v>2769</v>
      </c>
      <c r="K52" s="22">
        <v>298</v>
      </c>
      <c r="L52" s="22">
        <v>50989</v>
      </c>
      <c r="M52" s="22">
        <v>13317</v>
      </c>
    </row>
    <row r="53" spans="2:13" ht="15" customHeight="1">
      <c r="B53" s="8" t="s">
        <v>217</v>
      </c>
      <c r="C53" s="22">
        <v>5538856</v>
      </c>
      <c r="D53" s="22">
        <v>124068</v>
      </c>
      <c r="E53" s="22">
        <v>52738</v>
      </c>
      <c r="F53" s="22">
        <v>4606</v>
      </c>
      <c r="G53" s="22">
        <v>3091</v>
      </c>
      <c r="H53" s="22">
        <v>1515</v>
      </c>
      <c r="I53" s="22">
        <v>5581</v>
      </c>
      <c r="J53" s="22">
        <v>3067</v>
      </c>
      <c r="K53" s="22">
        <v>260</v>
      </c>
      <c r="L53" s="22">
        <v>51582</v>
      </c>
      <c r="M53" s="22">
        <v>14085</v>
      </c>
    </row>
    <row r="54" spans="2:13" ht="15" customHeight="1">
      <c r="B54" s="8" t="s">
        <v>218</v>
      </c>
      <c r="C54" s="22">
        <v>5377329</v>
      </c>
      <c r="D54" s="22">
        <v>125441</v>
      </c>
      <c r="E54" s="22">
        <v>56774</v>
      </c>
      <c r="F54" s="22">
        <v>4804</v>
      </c>
      <c r="G54" s="22">
        <v>2979</v>
      </c>
      <c r="H54" s="22">
        <v>1825</v>
      </c>
      <c r="I54" s="22">
        <v>5563</v>
      </c>
      <c r="J54" s="22">
        <v>3213</v>
      </c>
      <c r="K54" s="22">
        <v>237</v>
      </c>
      <c r="L54" s="22">
        <v>44385</v>
      </c>
      <c r="M54" s="22">
        <v>15259</v>
      </c>
    </row>
    <row r="55" spans="2:13" ht="15" customHeight="1">
      <c r="B55" s="8" t="s">
        <v>219</v>
      </c>
      <c r="C55" s="22">
        <v>5377329</v>
      </c>
      <c r="D55" s="22">
        <v>113586</v>
      </c>
      <c r="E55" s="22">
        <v>54016</v>
      </c>
      <c r="F55" s="22">
        <v>4326</v>
      </c>
      <c r="G55" s="22">
        <v>2784</v>
      </c>
      <c r="H55" s="22">
        <v>1542</v>
      </c>
      <c r="I55" s="22">
        <v>5140</v>
      </c>
      <c r="J55" s="22">
        <v>2874</v>
      </c>
      <c r="K55" s="22">
        <v>198</v>
      </c>
      <c r="L55" s="22">
        <v>41678</v>
      </c>
      <c r="M55" s="22">
        <v>18356</v>
      </c>
    </row>
    <row r="56" spans="2:13" ht="15" customHeight="1">
      <c r="B56" s="8" t="s">
        <v>220</v>
      </c>
      <c r="C56" s="22">
        <v>5435092</v>
      </c>
      <c r="D56" s="22">
        <v>111557</v>
      </c>
      <c r="E56" s="22">
        <v>53641</v>
      </c>
      <c r="F56" s="22">
        <v>4008</v>
      </c>
      <c r="G56" s="22">
        <v>2670</v>
      </c>
      <c r="H56" s="22">
        <v>1338</v>
      </c>
      <c r="I56" s="22">
        <v>4906</v>
      </c>
      <c r="J56" s="22">
        <v>2703</v>
      </c>
      <c r="K56" s="22">
        <v>166</v>
      </c>
      <c r="L56" s="22">
        <v>48329</v>
      </c>
      <c r="M56" s="22">
        <v>21133</v>
      </c>
    </row>
    <row r="57" spans="2:13" ht="15" customHeight="1">
      <c r="B57" s="8" t="s">
        <v>221</v>
      </c>
      <c r="C57" s="22">
        <v>5708415</v>
      </c>
      <c r="D57" s="22">
        <v>138572</v>
      </c>
      <c r="E57" s="22">
        <v>54856</v>
      </c>
      <c r="F57" s="22">
        <v>4541</v>
      </c>
      <c r="G57" s="22">
        <v>3323</v>
      </c>
      <c r="H57" s="22">
        <v>1218</v>
      </c>
      <c r="I57" s="22">
        <v>5978</v>
      </c>
      <c r="J57" s="22">
        <v>3168</v>
      </c>
      <c r="K57" s="22">
        <v>163</v>
      </c>
      <c r="L57" s="22">
        <v>78808</v>
      </c>
      <c r="M57" s="22">
        <v>29158</v>
      </c>
    </row>
    <row r="58" spans="2:13" ht="15" customHeight="1">
      <c r="B58" s="8" t="s">
        <v>222</v>
      </c>
      <c r="C58" s="22">
        <v>6069000</v>
      </c>
      <c r="D58" s="22">
        <v>160275</v>
      </c>
      <c r="E58" s="22">
        <v>56807</v>
      </c>
      <c r="F58" s="22">
        <v>5055</v>
      </c>
      <c r="G58" s="22">
        <v>3677</v>
      </c>
      <c r="H58" s="22">
        <v>1378</v>
      </c>
      <c r="I58" s="22">
        <v>6583</v>
      </c>
      <c r="J58" s="22">
        <v>3422</v>
      </c>
      <c r="K58" s="22">
        <v>173</v>
      </c>
      <c r="L58" s="22">
        <v>71319</v>
      </c>
      <c r="M58" s="22">
        <v>21386</v>
      </c>
    </row>
    <row r="59" spans="2:13" ht="15" customHeight="1">
      <c r="B59" s="8" t="s">
        <v>223</v>
      </c>
      <c r="C59" s="22">
        <v>6195000</v>
      </c>
      <c r="D59" s="22">
        <v>153726</v>
      </c>
      <c r="E59" s="22">
        <v>56520</v>
      </c>
      <c r="F59" s="22">
        <v>4617</v>
      </c>
      <c r="G59" s="22">
        <v>3352</v>
      </c>
      <c r="H59" s="22">
        <v>1265</v>
      </c>
      <c r="I59" s="22">
        <v>5968</v>
      </c>
      <c r="J59" s="22">
        <v>3132</v>
      </c>
      <c r="K59" s="22">
        <v>120</v>
      </c>
      <c r="L59" s="22">
        <v>61986</v>
      </c>
      <c r="M59" s="22">
        <v>16017</v>
      </c>
    </row>
    <row r="60" spans="2:13" ht="15" customHeight="1">
      <c r="B60" s="8" t="s">
        <v>224</v>
      </c>
      <c r="C60" s="22">
        <v>6352000</v>
      </c>
      <c r="D60" s="22">
        <v>156469</v>
      </c>
      <c r="E60" s="22">
        <v>57107</v>
      </c>
      <c r="F60" s="22">
        <v>4520</v>
      </c>
      <c r="G60" s="22">
        <v>3232</v>
      </c>
      <c r="H60" s="22">
        <v>1288</v>
      </c>
      <c r="I60" s="22">
        <v>5746</v>
      </c>
      <c r="J60" s="22">
        <v>2994</v>
      </c>
      <c r="K60" s="22">
        <v>105</v>
      </c>
      <c r="L60" s="22">
        <v>53109</v>
      </c>
      <c r="M60" s="22">
        <v>16274</v>
      </c>
    </row>
    <row r="61" spans="2:13" ht="15" customHeight="1">
      <c r="B61" s="8"/>
      <c r="C61" s="22"/>
      <c r="D61" s="22"/>
      <c r="E61" s="22"/>
      <c r="F61" s="22"/>
      <c r="G61" s="22"/>
      <c r="H61" s="22"/>
      <c r="I61" s="22"/>
      <c r="J61" s="22"/>
      <c r="K61" s="22"/>
      <c r="L61" s="22"/>
      <c r="M61" s="22"/>
    </row>
    <row r="62" spans="2:13" ht="15" customHeight="1">
      <c r="B62" s="8" t="s">
        <v>163</v>
      </c>
      <c r="C62" s="22">
        <v>6371766</v>
      </c>
      <c r="D62" s="22">
        <v>160055</v>
      </c>
      <c r="E62" s="22">
        <v>57567</v>
      </c>
      <c r="F62" s="22">
        <v>4214</v>
      </c>
      <c r="G62" s="22">
        <v>3043</v>
      </c>
      <c r="H62" s="22">
        <v>1171</v>
      </c>
      <c r="I62" s="22">
        <v>5781</v>
      </c>
      <c r="J62" s="22">
        <v>3095</v>
      </c>
      <c r="K62" s="22">
        <v>91</v>
      </c>
      <c r="L62" s="22">
        <v>58180</v>
      </c>
      <c r="M62" s="22">
        <v>15979</v>
      </c>
    </row>
    <row r="63" spans="2:13" ht="15" customHeight="1">
      <c r="B63" s="8" t="s">
        <v>225</v>
      </c>
      <c r="C63" s="22">
        <v>6545000</v>
      </c>
      <c r="D63" s="22">
        <v>172451</v>
      </c>
      <c r="E63" s="22">
        <v>59181</v>
      </c>
      <c r="F63" s="22">
        <v>4505</v>
      </c>
      <c r="G63" s="22">
        <v>3296</v>
      </c>
      <c r="H63" s="22">
        <v>1209</v>
      </c>
      <c r="I63" s="22">
        <v>6088</v>
      </c>
      <c r="J63" s="22">
        <v>3158</v>
      </c>
      <c r="K63" s="22">
        <v>94</v>
      </c>
      <c r="L63" s="22">
        <v>53411</v>
      </c>
      <c r="M63" s="22">
        <v>15446</v>
      </c>
    </row>
    <row r="64" spans="2:13" ht="15" customHeight="1">
      <c r="B64" s="8" t="s">
        <v>226</v>
      </c>
      <c r="C64" s="22">
        <v>6708000</v>
      </c>
      <c r="D64" s="22">
        <v>177835</v>
      </c>
      <c r="E64" s="22">
        <v>59138</v>
      </c>
      <c r="F64" s="22">
        <v>4689</v>
      </c>
      <c r="G64" s="22">
        <v>3414</v>
      </c>
      <c r="H64" s="22">
        <v>1275</v>
      </c>
      <c r="I64" s="22">
        <v>6266</v>
      </c>
      <c r="J64" s="22">
        <v>3224</v>
      </c>
      <c r="K64" s="22">
        <v>82</v>
      </c>
      <c r="L64" s="22">
        <v>50487</v>
      </c>
      <c r="M64" s="22">
        <v>14925</v>
      </c>
    </row>
    <row r="65" spans="2:13" ht="15" customHeight="1">
      <c r="B65" s="8" t="s">
        <v>227</v>
      </c>
      <c r="C65" s="22">
        <v>6852000</v>
      </c>
      <c r="D65" s="22">
        <v>182968</v>
      </c>
      <c r="E65" s="22">
        <v>62087</v>
      </c>
      <c r="F65" s="22">
        <v>4728</v>
      </c>
      <c r="G65" s="22">
        <v>3369</v>
      </c>
      <c r="H65" s="22">
        <v>1339</v>
      </c>
      <c r="I65" s="22">
        <v>6188</v>
      </c>
      <c r="J65" s="22">
        <v>3180</v>
      </c>
      <c r="K65" s="22">
        <v>79</v>
      </c>
      <c r="L65" s="22">
        <v>53308</v>
      </c>
      <c r="M65" s="22">
        <v>16537</v>
      </c>
    </row>
    <row r="66" spans="2:13" ht="15" customHeight="1">
      <c r="B66" s="8" t="s">
        <v>228</v>
      </c>
      <c r="C66" s="22">
        <v>7024000</v>
      </c>
      <c r="D66" s="22">
        <v>192104</v>
      </c>
      <c r="E66" s="22">
        <v>60706</v>
      </c>
      <c r="F66" s="22">
        <v>4795</v>
      </c>
      <c r="G66" s="22">
        <v>3560</v>
      </c>
      <c r="H66" s="22">
        <v>1235</v>
      </c>
      <c r="I66" s="22">
        <v>6415</v>
      </c>
      <c r="J66" s="22">
        <v>3249</v>
      </c>
      <c r="K66" s="22">
        <v>94</v>
      </c>
      <c r="L66" s="22">
        <v>51243</v>
      </c>
      <c r="M66" s="22">
        <v>16281</v>
      </c>
    </row>
    <row r="67" spans="2:13" ht="15" customHeight="1">
      <c r="B67" s="8" t="s">
        <v>229</v>
      </c>
      <c r="C67" s="22">
        <v>7236000</v>
      </c>
      <c r="D67" s="22">
        <v>196294</v>
      </c>
      <c r="E67" s="22">
        <v>63087</v>
      </c>
      <c r="F67" s="22">
        <v>4873</v>
      </c>
      <c r="G67" s="22">
        <v>3707</v>
      </c>
      <c r="H67" s="22">
        <v>1166</v>
      </c>
      <c r="I67" s="22">
        <v>6381</v>
      </c>
      <c r="J67" s="22">
        <v>3029</v>
      </c>
      <c r="K67" s="22">
        <v>61</v>
      </c>
      <c r="L67" s="22">
        <v>55698</v>
      </c>
      <c r="M67" s="22">
        <v>17676</v>
      </c>
    </row>
    <row r="68" spans="2:13" ht="15" customHeight="1">
      <c r="B68" s="8" t="s">
        <v>230</v>
      </c>
      <c r="C68" s="22">
        <v>7516000</v>
      </c>
      <c r="D68" s="22">
        <v>206068</v>
      </c>
      <c r="E68" s="22">
        <v>64352</v>
      </c>
      <c r="F68" s="22">
        <v>5047</v>
      </c>
      <c r="G68" s="22">
        <v>3796</v>
      </c>
      <c r="H68" s="22">
        <v>1251</v>
      </c>
      <c r="I68" s="22">
        <v>6655</v>
      </c>
      <c r="J68" s="22">
        <v>3245</v>
      </c>
      <c r="K68" s="22">
        <v>84</v>
      </c>
      <c r="L68" s="22">
        <v>57068</v>
      </c>
      <c r="M68" s="22">
        <v>16228</v>
      </c>
    </row>
    <row r="69" spans="2:13" ht="15" customHeight="1">
      <c r="B69" s="8" t="s">
        <v>231</v>
      </c>
      <c r="C69" s="22">
        <v>7803000</v>
      </c>
      <c r="D69" s="22">
        <v>208488</v>
      </c>
      <c r="E69" s="22">
        <v>66435</v>
      </c>
      <c r="F69" s="22">
        <v>5093</v>
      </c>
      <c r="G69" s="22">
        <v>3884</v>
      </c>
      <c r="H69" s="22">
        <v>1209</v>
      </c>
      <c r="I69" s="22">
        <v>6668</v>
      </c>
      <c r="J69" s="22">
        <v>3154</v>
      </c>
      <c r="K69" s="22">
        <v>79</v>
      </c>
      <c r="L69" s="22">
        <v>55121</v>
      </c>
      <c r="M69" s="22">
        <v>15442</v>
      </c>
    </row>
    <row r="70" spans="2:13" ht="15" customHeight="1">
      <c r="B70" s="8" t="s">
        <v>232</v>
      </c>
      <c r="C70" s="22">
        <v>7866000</v>
      </c>
      <c r="D70" s="22">
        <v>202690</v>
      </c>
      <c r="E70" s="22">
        <v>65899</v>
      </c>
      <c r="F70" s="22">
        <v>4980</v>
      </c>
      <c r="G70" s="22">
        <v>3789</v>
      </c>
      <c r="H70" s="22">
        <v>1191</v>
      </c>
      <c r="I70" s="22">
        <v>6516</v>
      </c>
      <c r="J70" s="22">
        <v>3101</v>
      </c>
      <c r="K70" s="22">
        <v>69</v>
      </c>
      <c r="L70" s="22">
        <v>55159</v>
      </c>
      <c r="M70" s="22">
        <v>14040</v>
      </c>
    </row>
    <row r="71" spans="2:13" ht="15" customHeight="1">
      <c r="B71" s="8" t="s">
        <v>233</v>
      </c>
      <c r="C71" s="22">
        <v>7960000</v>
      </c>
      <c r="D71" s="22">
        <v>198301</v>
      </c>
      <c r="E71" s="22">
        <v>66812</v>
      </c>
      <c r="F71" s="22">
        <v>4846</v>
      </c>
      <c r="G71" s="22">
        <v>3674</v>
      </c>
      <c r="H71" s="22">
        <v>1172</v>
      </c>
      <c r="I71" s="22">
        <v>6250</v>
      </c>
      <c r="J71" s="22">
        <v>2928</v>
      </c>
      <c r="K71" s="22">
        <v>72</v>
      </c>
      <c r="L71" s="22">
        <v>58826</v>
      </c>
      <c r="M71" s="22">
        <v>16168</v>
      </c>
    </row>
    <row r="72" spans="2:13" ht="15" customHeight="1">
      <c r="B72" s="11"/>
      <c r="C72" s="22"/>
      <c r="D72" s="22"/>
      <c r="E72" s="22"/>
      <c r="F72" s="22"/>
      <c r="G72" s="22"/>
      <c r="H72" s="22"/>
      <c r="I72" s="22"/>
      <c r="J72" s="22"/>
      <c r="K72" s="22"/>
      <c r="L72" s="22"/>
      <c r="M72" s="22"/>
    </row>
    <row r="73" spans="2:13" ht="15" customHeight="1">
      <c r="B73" s="8" t="s">
        <v>164</v>
      </c>
      <c r="C73" s="22">
        <v>7823194</v>
      </c>
      <c r="D73" s="22">
        <v>195056</v>
      </c>
      <c r="E73" s="22">
        <v>67912</v>
      </c>
      <c r="F73" s="22">
        <v>4702</v>
      </c>
      <c r="G73" s="22">
        <v>3580</v>
      </c>
      <c r="H73" s="22">
        <v>1122</v>
      </c>
      <c r="I73" s="22">
        <v>6247</v>
      </c>
      <c r="J73" s="22">
        <v>3008</v>
      </c>
      <c r="K73" s="22">
        <v>75</v>
      </c>
      <c r="L73" s="22">
        <v>61090</v>
      </c>
      <c r="M73" s="22">
        <v>16656</v>
      </c>
    </row>
    <row r="74" spans="2:13" ht="15" customHeight="1">
      <c r="B74" s="8" t="s">
        <v>234</v>
      </c>
      <c r="C74" s="22">
        <v>7903000</v>
      </c>
      <c r="D74" s="22">
        <v>192825</v>
      </c>
      <c r="E74" s="22">
        <v>67375</v>
      </c>
      <c r="F74" s="22">
        <v>4604</v>
      </c>
      <c r="G74" s="22">
        <v>3475</v>
      </c>
      <c r="H74" s="22">
        <v>1129</v>
      </c>
      <c r="I74" s="22">
        <v>5875</v>
      </c>
      <c r="J74" s="22">
        <v>2735</v>
      </c>
      <c r="K74" s="22">
        <v>78</v>
      </c>
      <c r="L74" s="22">
        <v>63320</v>
      </c>
      <c r="M74" s="22">
        <v>16219</v>
      </c>
    </row>
    <row r="75" spans="2:13" ht="15" customHeight="1">
      <c r="B75" s="8" t="s">
        <v>235</v>
      </c>
      <c r="C75" s="22">
        <v>7939000</v>
      </c>
      <c r="D75" s="22">
        <v>182790</v>
      </c>
      <c r="E75" s="22">
        <v>70049</v>
      </c>
      <c r="F75" s="22">
        <v>4367</v>
      </c>
      <c r="G75" s="22">
        <v>3251</v>
      </c>
      <c r="H75" s="22">
        <v>1116</v>
      </c>
      <c r="I75" s="22">
        <v>5669</v>
      </c>
      <c r="J75" s="22">
        <v>2703</v>
      </c>
      <c r="K75" s="22">
        <v>56</v>
      </c>
      <c r="L75" s="22">
        <v>65002</v>
      </c>
      <c r="M75" s="22">
        <v>17500</v>
      </c>
    </row>
    <row r="76" spans="2:13" ht="15" customHeight="1">
      <c r="B76" s="8" t="s">
        <v>236</v>
      </c>
      <c r="C76" s="22">
        <v>8030000</v>
      </c>
      <c r="D76" s="22">
        <v>178871</v>
      </c>
      <c r="E76" s="22">
        <v>72438</v>
      </c>
      <c r="F76" s="22">
        <v>4150</v>
      </c>
      <c r="G76" s="22">
        <v>3109</v>
      </c>
      <c r="H76" s="22">
        <v>1041</v>
      </c>
      <c r="I76" s="22">
        <v>5407</v>
      </c>
      <c r="J76" s="22">
        <v>2540</v>
      </c>
      <c r="K76" s="22">
        <v>71</v>
      </c>
      <c r="L76" s="22">
        <v>68160</v>
      </c>
      <c r="M76" s="22">
        <v>17479</v>
      </c>
    </row>
    <row r="77" spans="2:13" ht="15" customHeight="1">
      <c r="B77" s="8" t="s">
        <v>237</v>
      </c>
      <c r="C77" s="22">
        <v>8100000</v>
      </c>
      <c r="D77" s="22">
        <v>175103</v>
      </c>
      <c r="E77" s="22">
        <v>72129</v>
      </c>
      <c r="F77" s="22">
        <v>4043</v>
      </c>
      <c r="G77" s="22">
        <v>3071</v>
      </c>
      <c r="H77" s="22">
        <v>972</v>
      </c>
      <c r="I77" s="22">
        <v>5293</v>
      </c>
      <c r="J77" s="22">
        <v>2466</v>
      </c>
      <c r="K77" s="22">
        <v>62</v>
      </c>
      <c r="L77" s="22">
        <v>73911</v>
      </c>
      <c r="M77" s="22">
        <v>19400</v>
      </c>
    </row>
    <row r="78" spans="2:13" ht="15" customHeight="1">
      <c r="B78" s="8" t="s">
        <v>238</v>
      </c>
      <c r="C78" s="22">
        <v>8199283</v>
      </c>
      <c r="D78" s="22">
        <v>166464</v>
      </c>
      <c r="E78" s="22">
        <v>73665</v>
      </c>
      <c r="F78" s="22">
        <v>3936</v>
      </c>
      <c r="G78" s="22">
        <v>2909</v>
      </c>
      <c r="H78" s="22">
        <v>1027</v>
      </c>
      <c r="I78" s="22">
        <v>5139</v>
      </c>
      <c r="J78" s="22">
        <v>2475</v>
      </c>
      <c r="K78" s="22">
        <v>54</v>
      </c>
      <c r="L78" s="22">
        <v>81247</v>
      </c>
      <c r="M78" s="22">
        <v>20305</v>
      </c>
    </row>
    <row r="79" spans="2:13" ht="15" customHeight="1">
      <c r="B79" s="8" t="s">
        <v>239</v>
      </c>
      <c r="C79" s="22">
        <v>8314070</v>
      </c>
      <c r="D79" s="22">
        <v>165794</v>
      </c>
      <c r="E79" s="22">
        <v>74596</v>
      </c>
      <c r="F79" s="22">
        <v>3751</v>
      </c>
      <c r="G79" s="22">
        <v>2830</v>
      </c>
      <c r="H79" s="22">
        <v>921</v>
      </c>
      <c r="I79" s="22">
        <v>4909</v>
      </c>
      <c r="J79" s="22">
        <v>2295</v>
      </c>
      <c r="K79" s="22">
        <v>54</v>
      </c>
      <c r="L79" s="22">
        <v>83903</v>
      </c>
      <c r="M79" s="22">
        <v>21727</v>
      </c>
    </row>
    <row r="80" spans="2:13" ht="15" customHeight="1">
      <c r="B80" s="8" t="s">
        <v>240</v>
      </c>
      <c r="C80" s="22">
        <v>8615000</v>
      </c>
      <c r="D80" s="22">
        <v>162756</v>
      </c>
      <c r="E80" s="22">
        <v>75360</v>
      </c>
      <c r="F80" s="22">
        <v>3595</v>
      </c>
      <c r="G80" s="22">
        <v>2714</v>
      </c>
      <c r="H80" s="22">
        <v>881</v>
      </c>
      <c r="I80" s="22">
        <v>4693</v>
      </c>
      <c r="J80" s="22">
        <v>2195</v>
      </c>
      <c r="K80" s="22">
        <v>52</v>
      </c>
      <c r="L80" s="22">
        <v>84363</v>
      </c>
      <c r="M80" s="22">
        <v>23620</v>
      </c>
    </row>
    <row r="81" spans="2:13" ht="15" customHeight="1">
      <c r="B81" s="8" t="s">
        <v>241</v>
      </c>
      <c r="C81" s="22">
        <v>8675000</v>
      </c>
      <c r="D81" s="22">
        <v>159058</v>
      </c>
      <c r="E81" s="22">
        <v>76855</v>
      </c>
      <c r="F81" s="22">
        <v>3438</v>
      </c>
      <c r="G81" s="22">
        <v>2617</v>
      </c>
      <c r="H81" s="22">
        <v>821</v>
      </c>
      <c r="I81" s="22">
        <v>4476</v>
      </c>
      <c r="J81" s="22">
        <v>2064</v>
      </c>
      <c r="K81" s="22">
        <v>44</v>
      </c>
      <c r="L81" s="22">
        <v>90984</v>
      </c>
      <c r="M81" s="22">
        <v>25400</v>
      </c>
    </row>
    <row r="82" spans="2:13" ht="15" customHeight="1">
      <c r="B82" s="8" t="s">
        <v>242</v>
      </c>
      <c r="C82" s="22">
        <v>8734000</v>
      </c>
      <c r="D82" s="22">
        <v>165760</v>
      </c>
      <c r="E82" s="22">
        <v>76693</v>
      </c>
      <c r="F82" s="22">
        <v>3356</v>
      </c>
      <c r="G82" s="22">
        <v>2550</v>
      </c>
      <c r="H82" s="22">
        <v>806</v>
      </c>
      <c r="I82" s="22">
        <v>4488</v>
      </c>
      <c r="J82" s="22">
        <v>2175</v>
      </c>
      <c r="K82" s="22">
        <v>27</v>
      </c>
      <c r="L82" s="22">
        <v>93392</v>
      </c>
      <c r="M82" s="22">
        <v>28347</v>
      </c>
    </row>
    <row r="83" spans="2:13" ht="15" customHeight="1">
      <c r="B83" s="11"/>
      <c r="C83" s="22"/>
      <c r="D83" s="22"/>
      <c r="E83" s="22"/>
      <c r="F83" s="22"/>
      <c r="G83" s="22"/>
      <c r="H83" s="22"/>
      <c r="I83" s="22"/>
      <c r="J83" s="22"/>
      <c r="K83" s="22"/>
      <c r="L83" s="22"/>
      <c r="M83" s="22"/>
    </row>
    <row r="84" spans="2:13" ht="15" customHeight="1">
      <c r="B84" s="8" t="s">
        <v>165</v>
      </c>
      <c r="C84" s="22">
        <v>8875083</v>
      </c>
      <c r="D84" s="22">
        <v>171667</v>
      </c>
      <c r="E84" s="22">
        <v>76321</v>
      </c>
      <c r="F84" s="22">
        <v>3492</v>
      </c>
      <c r="G84" s="22">
        <v>2671</v>
      </c>
      <c r="H84" s="22">
        <v>821</v>
      </c>
      <c r="I84" s="22">
        <v>4522</v>
      </c>
      <c r="J84" s="22">
        <v>2060</v>
      </c>
      <c r="K84" s="22">
        <v>29</v>
      </c>
      <c r="L84" s="22">
        <v>91933</v>
      </c>
      <c r="M84" s="22">
        <v>29934</v>
      </c>
    </row>
    <row r="85" spans="2:13" ht="15" customHeight="1">
      <c r="B85" s="8" t="s">
        <v>243</v>
      </c>
      <c r="C85" s="22">
        <v>8972000</v>
      </c>
      <c r="D85" s="22">
        <v>162244</v>
      </c>
      <c r="E85" s="22">
        <v>77395</v>
      </c>
      <c r="F85" s="22">
        <v>3157</v>
      </c>
      <c r="G85" s="22">
        <v>2412</v>
      </c>
      <c r="H85" s="22">
        <v>745</v>
      </c>
      <c r="I85" s="22">
        <v>4139</v>
      </c>
      <c r="J85" s="22">
        <v>1923</v>
      </c>
      <c r="K85" s="22">
        <v>32</v>
      </c>
      <c r="L85" s="22">
        <v>92134</v>
      </c>
      <c r="M85" s="22">
        <v>31790</v>
      </c>
    </row>
    <row r="86" spans="2:13" ht="15" customHeight="1">
      <c r="B86" s="8" t="s">
        <v>244</v>
      </c>
      <c r="C86" s="22">
        <v>9025000</v>
      </c>
      <c r="D86" s="22">
        <v>146854</v>
      </c>
      <c r="E86" s="22">
        <v>79210</v>
      </c>
      <c r="F86" s="22">
        <v>2801</v>
      </c>
      <c r="G86" s="22">
        <v>2115</v>
      </c>
      <c r="H86" s="22">
        <v>686</v>
      </c>
      <c r="I86" s="22">
        <v>3700</v>
      </c>
      <c r="J86" s="22">
        <v>1765</v>
      </c>
      <c r="K86" s="22">
        <v>35</v>
      </c>
      <c r="L86" s="22">
        <v>94447</v>
      </c>
      <c r="M86" s="22">
        <v>35505</v>
      </c>
    </row>
    <row r="87" spans="2:13" ht="15" customHeight="1">
      <c r="B87" s="8" t="s">
        <v>245</v>
      </c>
      <c r="C87" s="22">
        <v>9072000</v>
      </c>
      <c r="D87" s="22">
        <v>141550</v>
      </c>
      <c r="E87" s="22">
        <v>78522</v>
      </c>
      <c r="F87" s="22">
        <v>2561</v>
      </c>
      <c r="G87" s="22">
        <v>1902</v>
      </c>
      <c r="H87" s="22">
        <v>659</v>
      </c>
      <c r="I87" s="22">
        <v>3392</v>
      </c>
      <c r="J87" s="22">
        <v>1682</v>
      </c>
      <c r="K87" s="22">
        <v>26</v>
      </c>
      <c r="L87" s="22">
        <v>94486</v>
      </c>
      <c r="M87" s="22">
        <v>37128</v>
      </c>
    </row>
    <row r="88" spans="2:13" ht="15" customHeight="1">
      <c r="B88" s="8" t="s">
        <v>246</v>
      </c>
      <c r="C88" s="22">
        <v>9109000</v>
      </c>
      <c r="D88" s="22">
        <v>137414</v>
      </c>
      <c r="E88" s="22">
        <v>76143</v>
      </c>
      <c r="F88" s="22">
        <v>2387</v>
      </c>
      <c r="G88" s="22">
        <v>1734</v>
      </c>
      <c r="H88" s="22">
        <v>653</v>
      </c>
      <c r="I88" s="22">
        <v>2947</v>
      </c>
      <c r="J88" s="22">
        <v>1438</v>
      </c>
      <c r="K88" s="22">
        <v>19</v>
      </c>
      <c r="L88" s="22">
        <v>88023</v>
      </c>
      <c r="M88" s="59">
        <v>39940</v>
      </c>
    </row>
    <row r="89" spans="2:13" ht="15" customHeight="1">
      <c r="B89" s="8" t="s">
        <v>247</v>
      </c>
      <c r="C89" s="22">
        <v>9108000</v>
      </c>
      <c r="D89" s="22">
        <v>133931</v>
      </c>
      <c r="E89" s="22">
        <v>74522</v>
      </c>
      <c r="F89" s="22">
        <v>2205</v>
      </c>
      <c r="G89" s="22">
        <v>1563</v>
      </c>
      <c r="H89" s="22">
        <v>642</v>
      </c>
      <c r="I89" s="22">
        <v>2673</v>
      </c>
      <c r="J89" s="22">
        <v>1356</v>
      </c>
      <c r="K89" s="22">
        <v>16</v>
      </c>
      <c r="L89" s="22">
        <v>82856</v>
      </c>
      <c r="M89" s="22">
        <v>40782</v>
      </c>
    </row>
    <row r="90" spans="2:13" ht="15" customHeight="1">
      <c r="B90" s="8" t="s">
        <v>248</v>
      </c>
      <c r="C90" s="22">
        <v>9117000</v>
      </c>
      <c r="D90" s="22">
        <v>131378</v>
      </c>
      <c r="E90" s="22">
        <v>75801</v>
      </c>
      <c r="F90" s="22">
        <v>1978</v>
      </c>
      <c r="G90" s="22">
        <v>1424</v>
      </c>
      <c r="H90" s="22">
        <v>554</v>
      </c>
      <c r="I90" s="22">
        <v>2495</v>
      </c>
      <c r="J90" s="22">
        <v>1264</v>
      </c>
      <c r="K90" s="22">
        <v>14</v>
      </c>
      <c r="L90" s="22">
        <v>82753</v>
      </c>
      <c r="M90" s="22">
        <v>43101</v>
      </c>
    </row>
    <row r="91" spans="2:13" ht="15" customHeight="1">
      <c r="B91" s="8" t="s">
        <v>249</v>
      </c>
      <c r="C91" s="22">
        <v>9157000</v>
      </c>
      <c r="D91" s="22">
        <v>138416</v>
      </c>
      <c r="E91" s="22">
        <v>74144</v>
      </c>
      <c r="F91" s="22">
        <v>1945</v>
      </c>
      <c r="G91" s="22">
        <v>1367</v>
      </c>
      <c r="H91" s="22">
        <v>578</v>
      </c>
      <c r="I91" s="22">
        <v>2452</v>
      </c>
      <c r="J91" s="22">
        <v>1284</v>
      </c>
      <c r="K91" s="22">
        <v>11</v>
      </c>
      <c r="L91" s="22">
        <v>86088</v>
      </c>
      <c r="M91" s="22">
        <v>43036</v>
      </c>
    </row>
    <row r="92" spans="2:13" ht="15" customHeight="1">
      <c r="B92" s="8" t="s">
        <v>250</v>
      </c>
      <c r="C92" s="22">
        <v>9202000</v>
      </c>
      <c r="D92" s="22">
        <v>138802</v>
      </c>
      <c r="E92" s="22">
        <v>74773</v>
      </c>
      <c r="F92" s="22">
        <v>1931</v>
      </c>
      <c r="G92" s="22">
        <v>1281</v>
      </c>
      <c r="H92" s="22">
        <v>650</v>
      </c>
      <c r="I92" s="22">
        <v>2302</v>
      </c>
      <c r="J92" s="22">
        <v>1201</v>
      </c>
      <c r="K92" s="22">
        <v>15</v>
      </c>
      <c r="L92" s="22">
        <v>88333</v>
      </c>
      <c r="M92" s="22">
        <v>45029</v>
      </c>
    </row>
    <row r="93" spans="2:13" ht="15" customHeight="1">
      <c r="B93" s="8" t="s">
        <v>251</v>
      </c>
      <c r="C93" s="22">
        <v>9249000</v>
      </c>
      <c r="D93" s="22">
        <v>144452</v>
      </c>
      <c r="E93" s="22">
        <v>73480</v>
      </c>
      <c r="F93" s="22">
        <v>1921</v>
      </c>
      <c r="G93" s="22">
        <v>1295</v>
      </c>
      <c r="H93" s="22">
        <v>626</v>
      </c>
      <c r="I93" s="22">
        <v>2285</v>
      </c>
      <c r="J93" s="22">
        <v>1175</v>
      </c>
      <c r="K93" s="22">
        <v>11</v>
      </c>
      <c r="L93" s="22">
        <v>89450</v>
      </c>
      <c r="M93" s="22">
        <v>44242</v>
      </c>
    </row>
    <row r="94" spans="2:13" ht="15" customHeight="1">
      <c r="B94" s="11"/>
      <c r="C94" s="22"/>
      <c r="D94" s="22"/>
      <c r="E94" s="22"/>
      <c r="F94" s="22"/>
      <c r="G94" s="22"/>
      <c r="H94" s="22"/>
      <c r="I94" s="22"/>
      <c r="J94" s="22"/>
      <c r="K94" s="22"/>
      <c r="L94" s="22"/>
      <c r="M94" s="22"/>
    </row>
    <row r="95" spans="2:13" ht="15" customHeight="1">
      <c r="B95" s="8" t="s">
        <v>166</v>
      </c>
      <c r="C95" s="24">
        <v>9256110</v>
      </c>
      <c r="D95" s="22">
        <v>145162</v>
      </c>
      <c r="E95" s="22">
        <v>74991</v>
      </c>
      <c r="F95" s="22">
        <v>1851</v>
      </c>
      <c r="G95" s="22">
        <v>1284</v>
      </c>
      <c r="H95" s="22">
        <v>567</v>
      </c>
      <c r="I95" s="22">
        <v>2235</v>
      </c>
      <c r="J95" s="22">
        <v>1135</v>
      </c>
      <c r="K95" s="22">
        <v>16</v>
      </c>
      <c r="L95" s="22">
        <v>86898</v>
      </c>
      <c r="M95" s="22">
        <v>45047</v>
      </c>
    </row>
    <row r="96" spans="2:13" ht="15" customHeight="1">
      <c r="B96" s="8" t="s">
        <v>252</v>
      </c>
      <c r="C96" s="24">
        <v>9209287</v>
      </c>
      <c r="D96" s="22">
        <v>140579</v>
      </c>
      <c r="E96" s="22">
        <v>75818</v>
      </c>
      <c r="F96" s="22">
        <v>1851</v>
      </c>
      <c r="G96" s="22">
        <v>1281</v>
      </c>
      <c r="H96" s="22">
        <v>570</v>
      </c>
      <c r="I96" s="22">
        <v>2151</v>
      </c>
      <c r="J96" s="22">
        <v>1040</v>
      </c>
      <c r="K96" s="22">
        <v>7</v>
      </c>
      <c r="L96" s="22">
        <v>85252</v>
      </c>
      <c r="M96" s="22">
        <v>43167</v>
      </c>
    </row>
    <row r="97" spans="2:13" ht="15" customHeight="1">
      <c r="B97" s="8" t="s">
        <v>253</v>
      </c>
      <c r="C97" s="24">
        <v>9115196</v>
      </c>
      <c r="D97" s="22">
        <v>137950</v>
      </c>
      <c r="E97" s="22">
        <v>75536</v>
      </c>
      <c r="F97" s="22">
        <v>1672</v>
      </c>
      <c r="G97" s="22">
        <v>1202</v>
      </c>
      <c r="H97" s="22">
        <v>470</v>
      </c>
      <c r="I97" s="22">
        <v>1989</v>
      </c>
      <c r="J97" s="22">
        <v>954</v>
      </c>
      <c r="K97" s="22">
        <v>11</v>
      </c>
      <c r="L97" s="22">
        <v>82633</v>
      </c>
      <c r="M97" s="22">
        <v>39739</v>
      </c>
    </row>
    <row r="98" spans="2:13" ht="15" customHeight="1">
      <c r="B98" s="8" t="s">
        <v>254</v>
      </c>
      <c r="C98" s="24">
        <v>9047764</v>
      </c>
      <c r="D98" s="22">
        <v>133026</v>
      </c>
      <c r="E98" s="22">
        <v>76639</v>
      </c>
      <c r="F98" s="22">
        <v>1573</v>
      </c>
      <c r="G98" s="22">
        <v>1067</v>
      </c>
      <c r="H98" s="22">
        <v>506</v>
      </c>
      <c r="I98" s="22">
        <v>1843</v>
      </c>
      <c r="J98" s="22">
        <v>933</v>
      </c>
      <c r="K98" s="22">
        <v>6</v>
      </c>
      <c r="L98" s="22">
        <v>78910</v>
      </c>
      <c r="M98" s="22">
        <v>37991</v>
      </c>
    </row>
    <row r="99" spans="2:13" ht="15" customHeight="1">
      <c r="B99" s="8" t="s">
        <v>255</v>
      </c>
      <c r="C99" s="24">
        <v>9049454</v>
      </c>
      <c r="D99" s="22">
        <v>135782</v>
      </c>
      <c r="E99" s="22">
        <v>76401</v>
      </c>
      <c r="F99" s="22">
        <v>1595</v>
      </c>
      <c r="G99" s="22">
        <v>1100</v>
      </c>
      <c r="H99" s="22">
        <v>495</v>
      </c>
      <c r="I99" s="22">
        <v>1884</v>
      </c>
      <c r="J99" s="22">
        <v>929</v>
      </c>
      <c r="K99" s="22">
        <v>4</v>
      </c>
      <c r="L99" s="22">
        <v>80810</v>
      </c>
      <c r="M99" s="22">
        <v>37563</v>
      </c>
    </row>
    <row r="100" spans="2:13" ht="15" customHeight="1">
      <c r="B100" s="8" t="s">
        <v>256</v>
      </c>
      <c r="C100" s="24">
        <v>9076287</v>
      </c>
      <c r="D100" s="22">
        <v>138052</v>
      </c>
      <c r="E100" s="22">
        <v>78635</v>
      </c>
      <c r="F100" s="22">
        <v>1575</v>
      </c>
      <c r="G100" s="22">
        <v>1071</v>
      </c>
      <c r="H100" s="22">
        <v>504</v>
      </c>
      <c r="I100" s="22">
        <v>1867</v>
      </c>
      <c r="J100" s="22">
        <v>953</v>
      </c>
      <c r="K100" s="22">
        <v>9</v>
      </c>
      <c r="L100" s="22">
        <v>79022</v>
      </c>
      <c r="M100" s="22">
        <v>38775</v>
      </c>
    </row>
    <row r="101" spans="2:13" ht="15" customHeight="1">
      <c r="B101" s="8" t="s">
        <v>257</v>
      </c>
      <c r="C101" s="24">
        <v>9127774</v>
      </c>
      <c r="D101" s="22">
        <v>137626</v>
      </c>
      <c r="E101" s="22">
        <v>80177</v>
      </c>
      <c r="F101" s="22">
        <v>1565</v>
      </c>
      <c r="G101" s="22">
        <v>1079</v>
      </c>
      <c r="H101" s="22">
        <v>486</v>
      </c>
      <c r="I101" s="22">
        <v>1782</v>
      </c>
      <c r="J101" s="22">
        <v>865</v>
      </c>
      <c r="K101" s="22">
        <v>11</v>
      </c>
      <c r="L101" s="22">
        <v>77815</v>
      </c>
      <c r="M101" s="22">
        <v>39553</v>
      </c>
    </row>
    <row r="102" spans="2:13" ht="15" customHeight="1">
      <c r="B102" s="8" t="s">
        <v>258</v>
      </c>
      <c r="C102" s="24">
        <v>9187484</v>
      </c>
      <c r="D102" s="22">
        <v>140466</v>
      </c>
      <c r="E102" s="22">
        <v>79795</v>
      </c>
      <c r="F102" s="22">
        <v>1538</v>
      </c>
      <c r="G102" s="22">
        <v>1029</v>
      </c>
      <c r="H102" s="22">
        <v>509</v>
      </c>
      <c r="I102" s="22">
        <v>1701</v>
      </c>
      <c r="J102" s="22">
        <v>824</v>
      </c>
      <c r="K102" s="22">
        <v>8</v>
      </c>
      <c r="L102" s="22">
        <v>74418</v>
      </c>
      <c r="M102" s="22">
        <v>39857</v>
      </c>
    </row>
    <row r="103" spans="2:13" ht="15" customHeight="1">
      <c r="B103" s="8" t="s">
        <v>259</v>
      </c>
      <c r="C103" s="24">
        <v>9218002</v>
      </c>
      <c r="D103" s="22">
        <v>139635</v>
      </c>
      <c r="E103" s="22">
        <v>80075</v>
      </c>
      <c r="F103" s="22">
        <v>1542</v>
      </c>
      <c r="G103" s="22">
        <v>1068</v>
      </c>
      <c r="H103" s="22">
        <v>474</v>
      </c>
      <c r="I103" s="22">
        <v>1659</v>
      </c>
      <c r="J103" s="22">
        <v>761</v>
      </c>
      <c r="K103" s="22">
        <v>11</v>
      </c>
      <c r="L103" s="22">
        <v>75386</v>
      </c>
      <c r="M103" s="22">
        <v>40103</v>
      </c>
    </row>
    <row r="104" spans="2:13" ht="15" customHeight="1">
      <c r="B104" s="8" t="s">
        <v>260</v>
      </c>
      <c r="C104" s="24">
        <v>9253298</v>
      </c>
      <c r="D104" s="22">
        <v>148164</v>
      </c>
      <c r="E104" s="22">
        <v>78566</v>
      </c>
      <c r="F104" s="22">
        <v>1645</v>
      </c>
      <c r="G104" s="22">
        <v>1070</v>
      </c>
      <c r="H104" s="22">
        <v>575</v>
      </c>
      <c r="I104" s="22">
        <v>1792</v>
      </c>
      <c r="J104" s="22">
        <v>881</v>
      </c>
      <c r="K104" s="22">
        <v>13</v>
      </c>
      <c r="L104" s="22">
        <v>76210</v>
      </c>
      <c r="M104" s="22">
        <v>40276</v>
      </c>
    </row>
    <row r="105" spans="2:13" ht="15" customHeight="1">
      <c r="B105" s="11"/>
      <c r="C105" s="22"/>
      <c r="D105" s="22"/>
      <c r="E105" s="22"/>
      <c r="F105" s="22"/>
      <c r="G105" s="22"/>
      <c r="H105" s="22"/>
      <c r="I105" s="22"/>
      <c r="J105" s="22"/>
      <c r="K105" s="22"/>
      <c r="L105" s="22"/>
      <c r="M105" s="22"/>
    </row>
    <row r="106" spans="2:13" ht="15" customHeight="1">
      <c r="B106" s="8" t="s">
        <v>167</v>
      </c>
      <c r="C106" s="49">
        <v>9310461</v>
      </c>
      <c r="D106" s="22">
        <v>153080</v>
      </c>
      <c r="E106" s="22">
        <v>78501</v>
      </c>
      <c r="F106" s="22">
        <v>1638</v>
      </c>
      <c r="G106" s="22">
        <v>1073</v>
      </c>
      <c r="H106" s="22">
        <v>565</v>
      </c>
      <c r="I106" s="22">
        <v>1722</v>
      </c>
      <c r="J106" s="22">
        <v>830</v>
      </c>
      <c r="K106" s="22">
        <v>10</v>
      </c>
      <c r="L106" s="22">
        <v>76099</v>
      </c>
      <c r="M106" s="22">
        <v>40568</v>
      </c>
    </row>
    <row r="107" spans="2:13" ht="15" customHeight="1">
      <c r="B107" s="8" t="s">
        <v>168</v>
      </c>
      <c r="C107" s="49">
        <v>9395025</v>
      </c>
      <c r="D107" s="22">
        <v>149478</v>
      </c>
      <c r="E107" s="22">
        <v>79738</v>
      </c>
      <c r="F107" s="22">
        <v>1554</v>
      </c>
      <c r="G107" s="22">
        <v>1003</v>
      </c>
      <c r="H107" s="22">
        <v>551</v>
      </c>
      <c r="I107" s="22">
        <v>1620</v>
      </c>
      <c r="J107" s="22">
        <v>775</v>
      </c>
      <c r="K107" s="22">
        <v>16</v>
      </c>
      <c r="L107" s="22">
        <v>72747</v>
      </c>
      <c r="M107" s="22">
        <v>40103</v>
      </c>
    </row>
    <row r="108" spans="2:13" ht="15" customHeight="1">
      <c r="B108" s="8" t="s">
        <v>169</v>
      </c>
      <c r="C108" s="49">
        <v>9470321</v>
      </c>
      <c r="D108" s="22">
        <v>143827</v>
      </c>
      <c r="E108" s="22">
        <v>78916</v>
      </c>
      <c r="F108" s="22">
        <v>1460</v>
      </c>
      <c r="G108" s="22">
        <f>648+173+141</f>
        <v>962</v>
      </c>
      <c r="H108" s="22">
        <v>498</v>
      </c>
      <c r="I108" s="22">
        <v>1576</v>
      </c>
      <c r="J108" s="22">
        <v>755</v>
      </c>
      <c r="K108" s="22">
        <v>15</v>
      </c>
      <c r="L108" s="22">
        <v>71322</v>
      </c>
      <c r="M108" s="22">
        <v>40425</v>
      </c>
    </row>
    <row r="109" spans="2:13" ht="15" customHeight="1">
      <c r="B109" s="8" t="s">
        <v>170</v>
      </c>
      <c r="C109" s="49">
        <v>9529239</v>
      </c>
      <c r="D109" s="22">
        <v>139560</v>
      </c>
      <c r="E109" s="22">
        <v>82286</v>
      </c>
      <c r="F109" s="22">
        <v>1319</v>
      </c>
      <c r="G109" s="22">
        <v>856</v>
      </c>
      <c r="H109" s="22">
        <v>463</v>
      </c>
      <c r="I109" s="22">
        <v>1434</v>
      </c>
      <c r="J109" s="22">
        <v>726</v>
      </c>
      <c r="K109" s="22">
        <v>8</v>
      </c>
      <c r="L109" s="22">
        <v>70771</v>
      </c>
      <c r="M109" s="22">
        <v>40470</v>
      </c>
    </row>
    <row r="110" spans="2:13" ht="15" customHeight="1">
      <c r="B110" s="8">
        <v>1994</v>
      </c>
      <c r="C110" s="49">
        <v>9584482</v>
      </c>
      <c r="D110" s="22">
        <v>137844</v>
      </c>
      <c r="E110" s="22">
        <v>82644</v>
      </c>
      <c r="F110" s="22">
        <v>1184</v>
      </c>
      <c r="G110" s="22">
        <v>775</v>
      </c>
      <c r="H110" s="22">
        <v>409</v>
      </c>
      <c r="I110" s="22">
        <v>1388</v>
      </c>
      <c r="J110" s="22">
        <v>731</v>
      </c>
      <c r="K110" s="22">
        <v>8</v>
      </c>
      <c r="L110" s="22">
        <v>70966</v>
      </c>
      <c r="M110" s="22">
        <v>39795</v>
      </c>
    </row>
    <row r="111" spans="2:13" ht="15" customHeight="1">
      <c r="B111" s="8">
        <v>1995</v>
      </c>
      <c r="C111" s="49">
        <v>9659868</v>
      </c>
      <c r="D111" s="22">
        <v>134169</v>
      </c>
      <c r="E111" s="22">
        <v>83405</v>
      </c>
      <c r="F111" s="22">
        <v>1110</v>
      </c>
      <c r="G111" s="22">
        <v>725</v>
      </c>
      <c r="H111" s="22">
        <v>385</v>
      </c>
      <c r="I111" s="22">
        <v>1363</v>
      </c>
      <c r="J111" s="22">
        <v>767</v>
      </c>
      <c r="K111" s="22">
        <v>11</v>
      </c>
      <c r="L111" s="22">
        <v>71042</v>
      </c>
      <c r="M111" s="22">
        <v>39449</v>
      </c>
    </row>
    <row r="112" spans="2:13" ht="15" customHeight="1">
      <c r="B112" s="8">
        <v>1996</v>
      </c>
      <c r="C112" s="49">
        <v>9739187</v>
      </c>
      <c r="D112" s="22">
        <v>133231</v>
      </c>
      <c r="E112" s="22">
        <v>83496</v>
      </c>
      <c r="F112" s="22">
        <v>1072</v>
      </c>
      <c r="G112" s="22">
        <v>703</v>
      </c>
      <c r="H112" s="22">
        <v>369</v>
      </c>
      <c r="I112" s="22">
        <v>1329</v>
      </c>
      <c r="J112" s="22">
        <v>759</v>
      </c>
      <c r="K112" s="22">
        <v>5</v>
      </c>
      <c r="L112" s="22">
        <v>68598</v>
      </c>
      <c r="M112" s="22">
        <v>38169</v>
      </c>
    </row>
    <row r="113" spans="2:13" ht="15" customHeight="1">
      <c r="B113" s="8">
        <v>1997</v>
      </c>
      <c r="C113" s="49">
        <v>9785449</v>
      </c>
      <c r="D113" s="60">
        <v>133549</v>
      </c>
      <c r="E113" s="60">
        <v>82994</v>
      </c>
      <c r="F113" s="22">
        <v>1085</v>
      </c>
      <c r="G113" s="22">
        <v>748</v>
      </c>
      <c r="H113" s="22">
        <v>337</v>
      </c>
      <c r="I113" s="22">
        <v>1385</v>
      </c>
      <c r="J113" s="22">
        <v>798</v>
      </c>
      <c r="K113" s="22">
        <v>12</v>
      </c>
      <c r="L113" s="61">
        <v>66974</v>
      </c>
      <c r="M113" s="22">
        <v>38202</v>
      </c>
    </row>
    <row r="114" spans="2:13" ht="15" customHeight="1">
      <c r="B114" s="8">
        <v>1998</v>
      </c>
      <c r="C114" s="49">
        <v>9820231</v>
      </c>
      <c r="D114" s="60">
        <v>133649</v>
      </c>
      <c r="E114" s="60">
        <v>84906</v>
      </c>
      <c r="F114" s="22">
        <v>1091</v>
      </c>
      <c r="G114" s="22">
        <v>709</v>
      </c>
      <c r="H114" s="22">
        <v>382</v>
      </c>
      <c r="I114" s="22">
        <v>1405</v>
      </c>
      <c r="J114" s="22">
        <v>830</v>
      </c>
      <c r="K114" s="22">
        <v>8</v>
      </c>
      <c r="L114" s="61">
        <v>65642</v>
      </c>
      <c r="M114" s="22">
        <v>38523</v>
      </c>
    </row>
    <row r="115" spans="2:13" ht="15" customHeight="1">
      <c r="B115" s="8">
        <v>1999</v>
      </c>
      <c r="C115" s="49">
        <v>9863771</v>
      </c>
      <c r="D115" s="22">
        <v>133429</v>
      </c>
      <c r="E115" s="22">
        <v>86835</v>
      </c>
      <c r="F115" s="22">
        <v>1071</v>
      </c>
      <c r="G115" s="22">
        <v>729</v>
      </c>
      <c r="H115" s="22">
        <v>342</v>
      </c>
      <c r="I115" s="22">
        <v>1366</v>
      </c>
      <c r="J115" s="22">
        <v>784</v>
      </c>
      <c r="K115" s="22">
        <v>11</v>
      </c>
      <c r="L115" s="22">
        <v>67105</v>
      </c>
      <c r="M115" s="22">
        <v>38006</v>
      </c>
    </row>
    <row r="116" spans="2:13" ht="15" customHeight="1">
      <c r="B116" s="8"/>
      <c r="C116" s="49"/>
      <c r="D116" s="22"/>
      <c r="E116" s="22"/>
      <c r="F116" s="22"/>
      <c r="G116" s="22"/>
      <c r="H116" s="22"/>
      <c r="I116" s="22"/>
      <c r="J116" s="22"/>
      <c r="K116" s="22"/>
      <c r="L116" s="22"/>
      <c r="M116" s="22"/>
    </row>
    <row r="117" spans="2:13" ht="15" customHeight="1">
      <c r="B117" s="8">
        <v>2000</v>
      </c>
      <c r="C117" s="49">
        <v>9994368</v>
      </c>
      <c r="D117" s="9">
        <v>136048</v>
      </c>
      <c r="E117" s="9">
        <v>86988</v>
      </c>
      <c r="F117" s="9">
        <v>1112</v>
      </c>
      <c r="G117" s="9">
        <v>777</v>
      </c>
      <c r="H117" s="9">
        <f>F117-G117</f>
        <v>335</v>
      </c>
      <c r="I117" s="9">
        <f>J117+653</f>
        <v>1440</v>
      </c>
      <c r="J117" s="9">
        <v>787</v>
      </c>
      <c r="K117" s="9">
        <v>9</v>
      </c>
      <c r="L117" s="9">
        <v>66326</v>
      </c>
      <c r="M117" s="9">
        <v>38932</v>
      </c>
    </row>
    <row r="118" spans="2:13" ht="15" customHeight="1">
      <c r="B118" s="8">
        <v>2001</v>
      </c>
      <c r="C118" s="49">
        <v>10060525</v>
      </c>
      <c r="D118" s="9">
        <v>133247</v>
      </c>
      <c r="E118" s="9">
        <v>86250</v>
      </c>
      <c r="F118" s="9">
        <v>1066</v>
      </c>
      <c r="G118" s="9">
        <v>729</v>
      </c>
      <c r="H118" s="9">
        <v>337</v>
      </c>
      <c r="I118" s="9">
        <v>1374</v>
      </c>
      <c r="J118" s="9">
        <v>786</v>
      </c>
      <c r="K118" s="9">
        <v>9</v>
      </c>
      <c r="L118" s="9">
        <v>66876</v>
      </c>
      <c r="M118" s="9">
        <v>38869</v>
      </c>
    </row>
    <row r="119" spans="2:13" ht="15" customHeight="1">
      <c r="B119" s="8">
        <v>2002</v>
      </c>
      <c r="C119" s="49">
        <v>10095183</v>
      </c>
      <c r="D119" s="9">
        <v>129518</v>
      </c>
      <c r="E119" s="9">
        <v>87534</v>
      </c>
      <c r="F119" s="9">
        <v>1054</v>
      </c>
      <c r="G119" s="9">
        <v>719</v>
      </c>
      <c r="H119" s="9">
        <v>335</v>
      </c>
      <c r="I119" s="9">
        <v>1318</v>
      </c>
      <c r="J119" s="9">
        <v>748</v>
      </c>
      <c r="K119" s="9">
        <v>12</v>
      </c>
      <c r="L119" s="9">
        <v>65104</v>
      </c>
      <c r="M119" s="9">
        <v>37804</v>
      </c>
    </row>
    <row r="120" spans="2:13" ht="15" customHeight="1">
      <c r="B120" s="8">
        <v>2003</v>
      </c>
      <c r="C120" s="49">
        <v>10123968</v>
      </c>
      <c r="D120" s="9">
        <v>130850</v>
      </c>
      <c r="E120" s="9">
        <v>86306</v>
      </c>
      <c r="F120" s="9">
        <v>1112</v>
      </c>
      <c r="G120" s="9">
        <f>486+136+149</f>
        <v>771</v>
      </c>
      <c r="H120" s="9">
        <f>269+72</f>
        <v>341</v>
      </c>
      <c r="I120" s="9">
        <f>J120+622</f>
        <v>1376</v>
      </c>
      <c r="J120" s="9">
        <v>754</v>
      </c>
      <c r="K120" s="9">
        <v>16</v>
      </c>
      <c r="L120" s="9">
        <v>62920</v>
      </c>
      <c r="M120" s="9">
        <v>35596</v>
      </c>
    </row>
    <row r="121" spans="2:13" ht="15" customHeight="1">
      <c r="B121" s="8">
        <v>2004</v>
      </c>
      <c r="C121" s="49">
        <v>10170080</v>
      </c>
      <c r="D121" s="9">
        <v>129710</v>
      </c>
      <c r="E121" s="9">
        <v>85122</v>
      </c>
      <c r="F121" s="9">
        <v>984</v>
      </c>
      <c r="G121" s="9">
        <v>694</v>
      </c>
      <c r="H121" s="9">
        <v>290</v>
      </c>
      <c r="I121" s="9">
        <f>J121+563</f>
        <v>1361</v>
      </c>
      <c r="J121" s="9">
        <v>798</v>
      </c>
      <c r="K121" s="9">
        <v>40</v>
      </c>
      <c r="L121" s="9">
        <v>61932</v>
      </c>
      <c r="M121" s="9">
        <v>34696</v>
      </c>
    </row>
    <row r="122" spans="2:13" ht="15" customHeight="1">
      <c r="B122" s="8">
        <v>2005</v>
      </c>
      <c r="C122" s="49">
        <v>10159911</v>
      </c>
      <c r="D122" s="9">
        <v>127518</v>
      </c>
      <c r="E122" s="9">
        <v>86785</v>
      </c>
      <c r="F122" s="9">
        <v>1013</v>
      </c>
      <c r="G122" s="9">
        <v>700</v>
      </c>
      <c r="H122" s="9">
        <f>F122-G122</f>
        <v>313</v>
      </c>
      <c r="I122" s="9">
        <v>1379</v>
      </c>
      <c r="J122" s="9">
        <v>823</v>
      </c>
      <c r="K122" s="9">
        <v>52</v>
      </c>
      <c r="L122" s="9">
        <v>61108</v>
      </c>
      <c r="M122" s="9">
        <v>34580</v>
      </c>
    </row>
    <row r="123" spans="2:13" ht="15" customHeight="1">
      <c r="B123" s="8">
        <v>2006</v>
      </c>
      <c r="C123" s="49">
        <v>10157416</v>
      </c>
      <c r="D123" s="9">
        <v>127537</v>
      </c>
      <c r="E123" s="9">
        <v>85945</v>
      </c>
      <c r="F123" s="9">
        <v>940</v>
      </c>
      <c r="G123" s="9">
        <v>660</v>
      </c>
      <c r="H123" s="9">
        <v>280</v>
      </c>
      <c r="I123" s="9">
        <f>J123+528</f>
        <v>1279</v>
      </c>
      <c r="J123" s="9">
        <v>751</v>
      </c>
      <c r="K123" s="9">
        <v>27</v>
      </c>
      <c r="L123" s="9">
        <v>59400</v>
      </c>
      <c r="M123" s="9">
        <v>35022</v>
      </c>
    </row>
    <row r="124" spans="2:13" ht="15" customHeight="1">
      <c r="B124" s="8">
        <v>2007</v>
      </c>
      <c r="C124" s="49">
        <v>10095812</v>
      </c>
      <c r="D124" s="9">
        <v>125172</v>
      </c>
      <c r="E124" s="9">
        <v>86642</v>
      </c>
      <c r="F124" s="9">
        <v>997</v>
      </c>
      <c r="G124" s="9">
        <v>697</v>
      </c>
      <c r="H124" s="9">
        <v>300</v>
      </c>
      <c r="I124" s="9">
        <v>1267</v>
      </c>
      <c r="J124" s="9">
        <v>714</v>
      </c>
      <c r="K124" s="9">
        <v>32</v>
      </c>
      <c r="L124" s="9">
        <v>56996</v>
      </c>
      <c r="M124" s="9">
        <v>34522</v>
      </c>
    </row>
    <row r="125" spans="2:13" ht="15" customHeight="1">
      <c r="B125" s="8">
        <v>2008</v>
      </c>
      <c r="C125" s="49">
        <v>10020941</v>
      </c>
      <c r="D125" s="9">
        <v>121231</v>
      </c>
      <c r="E125" s="9">
        <v>88272</v>
      </c>
      <c r="F125" s="9">
        <v>894</v>
      </c>
      <c r="G125" s="9">
        <v>608</v>
      </c>
      <c r="H125" s="9">
        <v>286</v>
      </c>
      <c r="I125" s="9">
        <v>1255</v>
      </c>
      <c r="J125" s="9">
        <v>754</v>
      </c>
      <c r="K125" s="9">
        <v>32</v>
      </c>
      <c r="L125" s="9">
        <v>55465</v>
      </c>
      <c r="M125" s="9">
        <v>33527</v>
      </c>
    </row>
    <row r="126" spans="2:13" ht="15" customHeight="1">
      <c r="B126" s="8">
        <v>2009</v>
      </c>
      <c r="C126" s="49">
        <v>9936777</v>
      </c>
      <c r="D126" s="9">
        <v>117309</v>
      </c>
      <c r="E126" s="9">
        <v>86310</v>
      </c>
      <c r="F126" s="9">
        <v>881</v>
      </c>
      <c r="G126" s="9">
        <v>600</v>
      </c>
      <c r="H126" s="9">
        <v>281</v>
      </c>
      <c r="I126" s="9">
        <v>1154</v>
      </c>
      <c r="J126" s="9">
        <v>676</v>
      </c>
      <c r="K126" s="9">
        <v>33</v>
      </c>
      <c r="L126" s="9">
        <v>53528</v>
      </c>
      <c r="M126" s="9">
        <v>32771</v>
      </c>
    </row>
    <row r="127" spans="2:13" ht="15" customHeight="1">
      <c r="B127" s="8"/>
      <c r="C127" s="49"/>
      <c r="D127" s="9"/>
      <c r="E127" s="9"/>
      <c r="F127" s="9"/>
      <c r="G127" s="9"/>
      <c r="H127" s="9"/>
      <c r="I127" s="9"/>
      <c r="J127" s="9"/>
      <c r="K127" s="9"/>
      <c r="L127" s="9"/>
      <c r="M127" s="9"/>
    </row>
    <row r="128" spans="2:13" ht="15" customHeight="1">
      <c r="B128" s="8">
        <v>2010</v>
      </c>
      <c r="C128" s="49">
        <v>9883640</v>
      </c>
      <c r="D128" s="9">
        <v>114717</v>
      </c>
      <c r="E128" s="9">
        <v>88058</v>
      </c>
      <c r="F128" s="9">
        <v>817</v>
      </c>
      <c r="G128" s="9">
        <v>549</v>
      </c>
      <c r="H128" s="9">
        <v>268</v>
      </c>
      <c r="I128" s="9">
        <v>1015</v>
      </c>
      <c r="J128" s="9">
        <v>540</v>
      </c>
      <c r="K128" s="9">
        <v>48</v>
      </c>
      <c r="L128" s="9">
        <v>54182</v>
      </c>
      <c r="M128" s="9">
        <v>34956</v>
      </c>
    </row>
    <row r="129" spans="2:13" ht="15" customHeight="1">
      <c r="B129" s="8">
        <v>2011</v>
      </c>
      <c r="C129" s="49">
        <v>9876801</v>
      </c>
      <c r="D129" s="9">
        <v>114159</v>
      </c>
      <c r="E129" s="9">
        <v>89473</v>
      </c>
      <c r="F129" s="9">
        <v>749</v>
      </c>
      <c r="G129" s="9">
        <v>501</v>
      </c>
      <c r="H129" s="9">
        <v>248</v>
      </c>
      <c r="I129" s="9">
        <v>1093</v>
      </c>
      <c r="J129" s="9">
        <v>681</v>
      </c>
      <c r="K129" s="9">
        <v>42</v>
      </c>
      <c r="L129" s="9">
        <v>56139</v>
      </c>
      <c r="M129" s="9">
        <v>33940</v>
      </c>
    </row>
    <row r="130" spans="2:13" ht="15" customHeight="1">
      <c r="B130" s="8">
        <v>2012</v>
      </c>
      <c r="C130" s="49">
        <v>9883360</v>
      </c>
      <c r="D130" s="9">
        <v>112708</v>
      </c>
      <c r="E130" s="9">
        <v>89917</v>
      </c>
      <c r="F130" s="9">
        <v>783</v>
      </c>
      <c r="G130" s="9">
        <v>540</v>
      </c>
      <c r="H130" s="9">
        <v>243</v>
      </c>
      <c r="I130" s="9">
        <v>1021</v>
      </c>
      <c r="J130" s="9">
        <v>562</v>
      </c>
      <c r="K130" s="9">
        <v>26</v>
      </c>
      <c r="L130" s="9">
        <v>56315</v>
      </c>
      <c r="M130" s="9">
        <v>32892</v>
      </c>
    </row>
    <row r="131" spans="2:13" ht="15" customHeight="1">
      <c r="B131" s="8">
        <v>2013</v>
      </c>
      <c r="C131" s="49">
        <v>9895622</v>
      </c>
      <c r="D131" s="9">
        <v>113732</v>
      </c>
      <c r="E131" s="9">
        <v>92463</v>
      </c>
      <c r="F131" s="9">
        <v>799</v>
      </c>
      <c r="G131" s="9">
        <v>544</v>
      </c>
      <c r="H131" s="9">
        <v>255</v>
      </c>
      <c r="I131" s="9">
        <v>967</v>
      </c>
      <c r="J131" s="9">
        <v>536</v>
      </c>
      <c r="K131" s="9">
        <v>35</v>
      </c>
      <c r="L131" s="9">
        <v>55396</v>
      </c>
      <c r="M131" s="9">
        <v>31687</v>
      </c>
    </row>
    <row r="132" spans="2:13" ht="15" customHeight="1">
      <c r="B132" s="6"/>
      <c r="C132" s="68"/>
      <c r="D132" s="15"/>
      <c r="E132" s="15"/>
      <c r="F132" s="15"/>
      <c r="G132" s="15"/>
      <c r="H132" s="15"/>
      <c r="I132" s="15"/>
      <c r="J132" s="15"/>
      <c r="K132" s="15"/>
      <c r="L132" s="15"/>
      <c r="M132" s="15"/>
    </row>
    <row r="133" spans="2:13" ht="85.5" customHeight="1">
      <c r="B133" s="279" t="s">
        <v>308</v>
      </c>
      <c r="C133" s="280"/>
      <c r="D133" s="280"/>
      <c r="E133" s="280"/>
      <c r="F133" s="280"/>
      <c r="G133" s="280"/>
      <c r="H133" s="280"/>
      <c r="I133" s="280"/>
      <c r="J133" s="280"/>
      <c r="K133" s="280"/>
      <c r="L133" s="280"/>
      <c r="M133" s="280"/>
    </row>
    <row r="134" spans="2:13" ht="41.25" customHeight="1">
      <c r="B134" s="281" t="s">
        <v>595</v>
      </c>
      <c r="C134" s="280"/>
      <c r="D134" s="280"/>
      <c r="E134" s="280"/>
      <c r="F134" s="280"/>
      <c r="G134" s="280"/>
      <c r="H134" s="280"/>
      <c r="I134" s="280"/>
      <c r="J134" s="280"/>
      <c r="K134" s="280"/>
      <c r="L134" s="280"/>
      <c r="M134" s="280"/>
    </row>
  </sheetData>
  <mergeCells count="7">
    <mergeCell ref="B133:M133"/>
    <mergeCell ref="B134:M134"/>
    <mergeCell ref="M5:M6"/>
    <mergeCell ref="D5:D6"/>
    <mergeCell ref="C5:C6"/>
    <mergeCell ref="B5:B6"/>
    <mergeCell ref="L5:L6"/>
  </mergeCells>
  <phoneticPr fontId="0" type="noConversion"/>
  <printOptions horizontalCentered="1"/>
  <pageMargins left="0.5" right="0.25" top="0.35" bottom="0.25" header="0" footer="0"/>
  <pageSetup scale="74"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41</v>
      </c>
      <c r="C2" s="4"/>
      <c r="D2" s="4"/>
      <c r="E2" s="4"/>
      <c r="F2" s="4"/>
      <c r="G2" s="4"/>
      <c r="H2" s="4"/>
    </row>
    <row r="3" spans="2:62" ht="15.75">
      <c r="B3" s="5" t="s">
        <v>42</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6.5300000000000002E-3</v>
      </c>
      <c r="D6" s="95">
        <v>100000</v>
      </c>
      <c r="E6" s="95">
        <v>653</v>
      </c>
      <c r="F6" s="95">
        <v>99427</v>
      </c>
      <c r="G6" s="95">
        <v>7633993</v>
      </c>
      <c r="H6" s="145">
        <v>76.34</v>
      </c>
    </row>
    <row r="7" spans="2:62">
      <c r="B7" s="8" t="s">
        <v>16</v>
      </c>
      <c r="C7" s="150">
        <v>9.7000000000000005E-4</v>
      </c>
      <c r="D7" s="49">
        <v>99347</v>
      </c>
      <c r="E7" s="49">
        <v>97</v>
      </c>
      <c r="F7" s="49">
        <v>397140</v>
      </c>
      <c r="G7" s="49">
        <v>7534566</v>
      </c>
      <c r="H7" s="146">
        <v>75.840999999999994</v>
      </c>
    </row>
    <row r="8" spans="2:62">
      <c r="B8" s="8" t="s">
        <v>17</v>
      </c>
      <c r="C8" s="150">
        <v>5.4000000000000001E-4</v>
      </c>
      <c r="D8" s="49">
        <v>99250</v>
      </c>
      <c r="E8" s="49">
        <v>54</v>
      </c>
      <c r="F8" s="49">
        <v>496108</v>
      </c>
      <c r="G8" s="49">
        <v>7137426</v>
      </c>
      <c r="H8" s="146">
        <v>71.914000000000001</v>
      </c>
    </row>
    <row r="9" spans="2:62">
      <c r="B9" s="8" t="s">
        <v>18</v>
      </c>
      <c r="C9" s="150">
        <v>8.7000000000000001E-4</v>
      </c>
      <c r="D9" s="49">
        <v>99196</v>
      </c>
      <c r="E9" s="49">
        <v>86</v>
      </c>
      <c r="F9" s="49">
        <v>495808</v>
      </c>
      <c r="G9" s="49">
        <v>6641318</v>
      </c>
      <c r="H9" s="146">
        <v>66.950999999999993</v>
      </c>
    </row>
    <row r="10" spans="2:62">
      <c r="B10" s="8" t="s">
        <v>19</v>
      </c>
      <c r="C10" s="150">
        <v>2.6199999999999999E-3</v>
      </c>
      <c r="D10" s="49">
        <v>99110</v>
      </c>
      <c r="E10" s="49">
        <v>259</v>
      </c>
      <c r="F10" s="49">
        <v>495002</v>
      </c>
      <c r="G10" s="49">
        <v>6145510</v>
      </c>
      <c r="H10" s="146">
        <v>62.006999999999998</v>
      </c>
      <c r="BD10" s="147"/>
      <c r="BF10" s="147"/>
    </row>
    <row r="11" spans="2:62">
      <c r="B11" s="8" t="s">
        <v>20</v>
      </c>
      <c r="C11" s="150">
        <v>5.7000000000000002E-3</v>
      </c>
      <c r="D11" s="49">
        <v>98851</v>
      </c>
      <c r="E11" s="49">
        <v>563</v>
      </c>
      <c r="F11" s="49">
        <v>492937</v>
      </c>
      <c r="G11" s="49">
        <v>5650508</v>
      </c>
      <c r="H11" s="146">
        <v>57.161999999999999</v>
      </c>
      <c r="BD11" s="147"/>
      <c r="BF11" s="147"/>
    </row>
    <row r="12" spans="2:62">
      <c r="B12" s="8" t="s">
        <v>21</v>
      </c>
      <c r="C12" s="150">
        <v>7.0299999999999998E-3</v>
      </c>
      <c r="D12" s="49">
        <v>98288</v>
      </c>
      <c r="E12" s="49">
        <v>691</v>
      </c>
      <c r="F12" s="49">
        <v>489757</v>
      </c>
      <c r="G12" s="49">
        <v>5157571</v>
      </c>
      <c r="H12" s="146">
        <v>52.473999999999997</v>
      </c>
    </row>
    <row r="13" spans="2:62">
      <c r="B13" s="8" t="s">
        <v>22</v>
      </c>
      <c r="C13" s="150">
        <v>7.9500000000000005E-3</v>
      </c>
      <c r="D13" s="49">
        <v>97597</v>
      </c>
      <c r="E13" s="49">
        <v>776</v>
      </c>
      <c r="F13" s="49">
        <v>486079</v>
      </c>
      <c r="G13" s="49">
        <v>4667814</v>
      </c>
      <c r="H13" s="146">
        <v>47.826999999999998</v>
      </c>
    </row>
    <row r="14" spans="2:62">
      <c r="B14" s="8" t="s">
        <v>23</v>
      </c>
      <c r="C14" s="150">
        <v>8.8500000000000002E-3</v>
      </c>
      <c r="D14" s="49">
        <v>96821</v>
      </c>
      <c r="E14" s="49">
        <v>857</v>
      </c>
      <c r="F14" s="49">
        <v>482055</v>
      </c>
      <c r="G14" s="49">
        <v>4181735</v>
      </c>
      <c r="H14" s="146">
        <v>43.19</v>
      </c>
    </row>
    <row r="15" spans="2:62">
      <c r="B15" s="8" t="s">
        <v>24</v>
      </c>
      <c r="C15" s="150">
        <v>1.2670000000000001E-2</v>
      </c>
      <c r="D15" s="49">
        <v>95964</v>
      </c>
      <c r="E15" s="49">
        <v>1216</v>
      </c>
      <c r="F15" s="49">
        <v>476973</v>
      </c>
      <c r="G15" s="49">
        <v>3699680</v>
      </c>
      <c r="H15" s="146">
        <v>38.552999999999997</v>
      </c>
      <c r="BD15" s="147"/>
      <c r="BF15" s="147"/>
      <c r="BH15" s="147"/>
      <c r="BJ15" s="147"/>
    </row>
    <row r="16" spans="2:62">
      <c r="B16" s="8" t="s">
        <v>25</v>
      </c>
      <c r="C16" s="150">
        <v>1.8780000000000002E-2</v>
      </c>
      <c r="D16" s="49">
        <v>94748</v>
      </c>
      <c r="E16" s="49">
        <v>1779</v>
      </c>
      <c r="F16" s="49">
        <v>469613</v>
      </c>
      <c r="G16" s="49">
        <v>3222707</v>
      </c>
      <c r="H16" s="146">
        <v>34.012999999999998</v>
      </c>
      <c r="AV16" s="147"/>
      <c r="AX16" s="147"/>
      <c r="BD16" s="147"/>
      <c r="BF16" s="147"/>
    </row>
    <row r="17" spans="2:9">
      <c r="B17" s="8" t="s">
        <v>26</v>
      </c>
      <c r="C17" s="150">
        <v>2.947E-2</v>
      </c>
      <c r="D17" s="49">
        <v>92969</v>
      </c>
      <c r="E17" s="49">
        <v>2740</v>
      </c>
      <c r="F17" s="49">
        <v>458407</v>
      </c>
      <c r="G17" s="49">
        <v>2753094</v>
      </c>
      <c r="H17" s="146">
        <v>29.613</v>
      </c>
    </row>
    <row r="18" spans="2:9">
      <c r="B18" s="8" t="s">
        <v>27</v>
      </c>
      <c r="C18" s="150">
        <v>4.1509999999999998E-2</v>
      </c>
      <c r="D18" s="49">
        <v>90229</v>
      </c>
      <c r="E18" s="49">
        <v>3745</v>
      </c>
      <c r="F18" s="49">
        <v>442267</v>
      </c>
      <c r="G18" s="49">
        <v>2294687</v>
      </c>
      <c r="H18" s="146">
        <v>25.431999999999999</v>
      </c>
    </row>
    <row r="19" spans="2:9">
      <c r="B19" s="8" t="s">
        <v>28</v>
      </c>
      <c r="C19" s="150">
        <v>5.8180000000000003E-2</v>
      </c>
      <c r="D19" s="49">
        <v>86484</v>
      </c>
      <c r="E19" s="49">
        <v>5031</v>
      </c>
      <c r="F19" s="49">
        <v>420521</v>
      </c>
      <c r="G19" s="49">
        <v>1852420</v>
      </c>
      <c r="H19" s="146">
        <v>21.419</v>
      </c>
    </row>
    <row r="20" spans="2:9">
      <c r="B20" s="8" t="s">
        <v>29</v>
      </c>
      <c r="C20" s="150">
        <v>8.4790000000000004E-2</v>
      </c>
      <c r="D20" s="49">
        <v>81453</v>
      </c>
      <c r="E20" s="49">
        <v>6907</v>
      </c>
      <c r="F20" s="49">
        <v>391018</v>
      </c>
      <c r="G20" s="49">
        <v>1431899</v>
      </c>
      <c r="H20" s="146">
        <v>17.579000000000001</v>
      </c>
    </row>
    <row r="21" spans="2:9">
      <c r="B21" s="8" t="s">
        <v>30</v>
      </c>
      <c r="C21" s="150">
        <v>0.12984999999999999</v>
      </c>
      <c r="D21" s="49">
        <v>74546</v>
      </c>
      <c r="E21" s="49">
        <v>9680</v>
      </c>
      <c r="F21" s="49">
        <v>349959</v>
      </c>
      <c r="G21" s="49">
        <v>1040881</v>
      </c>
      <c r="H21" s="146">
        <v>13.962999999999999</v>
      </c>
    </row>
    <row r="22" spans="2:9">
      <c r="B22" s="8" t="s">
        <v>31</v>
      </c>
      <c r="C22" s="150">
        <v>0.20355000000000001</v>
      </c>
      <c r="D22" s="49">
        <v>64866</v>
      </c>
      <c r="E22" s="49">
        <v>13203</v>
      </c>
      <c r="F22" s="49">
        <v>293020</v>
      </c>
      <c r="G22" s="49">
        <v>690922</v>
      </c>
      <c r="H22" s="146">
        <v>10.651999999999999</v>
      </c>
    </row>
    <row r="23" spans="2:9">
      <c r="B23" s="8" t="s">
        <v>32</v>
      </c>
      <c r="C23" s="150">
        <v>0.32174000000000003</v>
      </c>
      <c r="D23" s="49">
        <v>51663</v>
      </c>
      <c r="E23" s="49">
        <v>16622</v>
      </c>
      <c r="F23" s="49">
        <v>219193</v>
      </c>
      <c r="G23" s="49">
        <v>397902</v>
      </c>
      <c r="H23" s="146">
        <v>7.702</v>
      </c>
    </row>
    <row r="24" spans="2:9">
      <c r="B24" s="6" t="s">
        <v>5</v>
      </c>
      <c r="C24" s="151">
        <v>1</v>
      </c>
      <c r="D24" s="68">
        <v>35041</v>
      </c>
      <c r="E24" s="68">
        <v>35041</v>
      </c>
      <c r="F24" s="68">
        <v>178709</v>
      </c>
      <c r="G24" s="68">
        <v>178709</v>
      </c>
      <c r="H24" s="148">
        <v>5.0999999999999996</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5" style="2" bestFit="1" customWidth="1"/>
    <col min="9" max="11" width="12.83203125" style="2"/>
    <col min="12" max="12" width="14.1640625" style="2" customWidth="1"/>
    <col min="13" max="16384" width="12.83203125" style="2"/>
  </cols>
  <sheetData>
    <row r="1" spans="2:62">
      <c r="B1" s="110"/>
    </row>
    <row r="2" spans="2:62">
      <c r="B2" s="3" t="s">
        <v>39</v>
      </c>
      <c r="C2" s="4"/>
      <c r="D2" s="4"/>
      <c r="E2" s="4"/>
      <c r="F2" s="4"/>
      <c r="G2" s="4"/>
      <c r="H2" s="4"/>
    </row>
    <row r="3" spans="2:62" ht="15.75">
      <c r="B3" s="5" t="s">
        <v>40</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4.6100000000000004E-3</v>
      </c>
      <c r="D6" s="95">
        <v>100000</v>
      </c>
      <c r="E6" s="95">
        <v>461</v>
      </c>
      <c r="F6" s="95">
        <v>99596</v>
      </c>
      <c r="G6" s="95">
        <v>8098448</v>
      </c>
      <c r="H6" s="145">
        <v>80.983999999999995</v>
      </c>
    </row>
    <row r="7" spans="2:62">
      <c r="B7" s="8" t="s">
        <v>16</v>
      </c>
      <c r="C7" s="150">
        <v>6.2E-4</v>
      </c>
      <c r="D7" s="49">
        <v>99539</v>
      </c>
      <c r="E7" s="49">
        <v>62</v>
      </c>
      <c r="F7" s="49">
        <v>397999</v>
      </c>
      <c r="G7" s="49">
        <v>7998852</v>
      </c>
      <c r="H7" s="146">
        <v>80.358999999999995</v>
      </c>
    </row>
    <row r="8" spans="2:62">
      <c r="B8" s="8" t="s">
        <v>17</v>
      </c>
      <c r="C8" s="150">
        <v>4.4000000000000002E-4</v>
      </c>
      <c r="D8" s="49">
        <v>99477</v>
      </c>
      <c r="E8" s="49">
        <v>43</v>
      </c>
      <c r="F8" s="49">
        <v>497275</v>
      </c>
      <c r="G8" s="49">
        <v>7600853</v>
      </c>
      <c r="H8" s="146">
        <v>76.408000000000001</v>
      </c>
    </row>
    <row r="9" spans="2:62">
      <c r="B9" s="8" t="s">
        <v>18</v>
      </c>
      <c r="C9" s="150">
        <v>6.4999999999999997E-4</v>
      </c>
      <c r="D9" s="49">
        <v>99434</v>
      </c>
      <c r="E9" s="49">
        <v>65</v>
      </c>
      <c r="F9" s="49">
        <v>497024</v>
      </c>
      <c r="G9" s="49">
        <v>7103578</v>
      </c>
      <c r="H9" s="146">
        <v>71.44</v>
      </c>
    </row>
    <row r="10" spans="2:62">
      <c r="B10" s="8" t="s">
        <v>19</v>
      </c>
      <c r="C10" s="150">
        <v>1.2600000000000001E-3</v>
      </c>
      <c r="D10" s="49">
        <v>99369</v>
      </c>
      <c r="E10" s="49">
        <v>125</v>
      </c>
      <c r="F10" s="49">
        <v>496570</v>
      </c>
      <c r="G10" s="49">
        <v>6606554</v>
      </c>
      <c r="H10" s="146">
        <v>66.484999999999999</v>
      </c>
      <c r="BD10" s="147"/>
      <c r="BF10" s="147"/>
    </row>
    <row r="11" spans="2:62">
      <c r="B11" s="8" t="s">
        <v>20</v>
      </c>
      <c r="C11" s="150">
        <v>2.4499999999999999E-3</v>
      </c>
      <c r="D11" s="49">
        <v>99244</v>
      </c>
      <c r="E11" s="49">
        <v>243</v>
      </c>
      <c r="F11" s="49">
        <v>495644</v>
      </c>
      <c r="G11" s="49">
        <v>6109984</v>
      </c>
      <c r="H11" s="146">
        <v>61.564999999999998</v>
      </c>
      <c r="BD11" s="147"/>
      <c r="BF11" s="147"/>
    </row>
    <row r="12" spans="2:62">
      <c r="B12" s="8" t="s">
        <v>21</v>
      </c>
      <c r="C12" s="150">
        <v>2.7799999999999999E-3</v>
      </c>
      <c r="D12" s="49">
        <v>99001</v>
      </c>
      <c r="E12" s="49">
        <v>275</v>
      </c>
      <c r="F12" s="49">
        <v>494346</v>
      </c>
      <c r="G12" s="49">
        <v>5614340</v>
      </c>
      <c r="H12" s="146">
        <v>56.71</v>
      </c>
    </row>
    <row r="13" spans="2:62">
      <c r="B13" s="8" t="s">
        <v>22</v>
      </c>
      <c r="C13" s="150">
        <v>3.8400000000000001E-3</v>
      </c>
      <c r="D13" s="49">
        <v>98726</v>
      </c>
      <c r="E13" s="49">
        <v>379</v>
      </c>
      <c r="F13" s="49">
        <v>492726</v>
      </c>
      <c r="G13" s="49">
        <v>5119994</v>
      </c>
      <c r="H13" s="146">
        <v>51.860999999999997</v>
      </c>
    </row>
    <row r="14" spans="2:62">
      <c r="B14" s="8" t="s">
        <v>23</v>
      </c>
      <c r="C14" s="150">
        <v>4.9300000000000004E-3</v>
      </c>
      <c r="D14" s="49">
        <v>98347</v>
      </c>
      <c r="E14" s="49">
        <v>485</v>
      </c>
      <c r="F14" s="49">
        <v>490601</v>
      </c>
      <c r="G14" s="49">
        <v>4627268</v>
      </c>
      <c r="H14" s="146">
        <v>47.05</v>
      </c>
    </row>
    <row r="15" spans="2:62">
      <c r="B15" s="8" t="s">
        <v>24</v>
      </c>
      <c r="C15" s="150">
        <v>7.7299999999999999E-3</v>
      </c>
      <c r="D15" s="49">
        <v>97862</v>
      </c>
      <c r="E15" s="49">
        <v>756</v>
      </c>
      <c r="F15" s="49">
        <v>487573</v>
      </c>
      <c r="G15" s="49">
        <v>4136667</v>
      </c>
      <c r="H15" s="146">
        <v>42.27</v>
      </c>
      <c r="BD15" s="147"/>
      <c r="BF15" s="147"/>
      <c r="BH15" s="147"/>
      <c r="BJ15" s="147"/>
    </row>
    <row r="16" spans="2:62">
      <c r="B16" s="8" t="s">
        <v>25</v>
      </c>
      <c r="C16" s="150">
        <v>1.2540000000000001E-2</v>
      </c>
      <c r="D16" s="49">
        <v>97106</v>
      </c>
      <c r="E16" s="49">
        <v>1218</v>
      </c>
      <c r="F16" s="49">
        <v>482696</v>
      </c>
      <c r="G16" s="49">
        <v>3649094</v>
      </c>
      <c r="H16" s="146">
        <v>37.578000000000003</v>
      </c>
      <c r="AV16" s="147"/>
      <c r="AX16" s="147"/>
      <c r="BD16" s="147"/>
      <c r="BF16" s="147"/>
    </row>
    <row r="17" spans="2:9">
      <c r="B17" s="8" t="s">
        <v>26</v>
      </c>
      <c r="C17" s="150">
        <v>1.84E-2</v>
      </c>
      <c r="D17" s="49">
        <v>95888</v>
      </c>
      <c r="E17" s="49">
        <v>1764</v>
      </c>
      <c r="F17" s="49">
        <v>475269</v>
      </c>
      <c r="G17" s="49">
        <v>3166398</v>
      </c>
      <c r="H17" s="146">
        <v>33.021999999999998</v>
      </c>
    </row>
    <row r="18" spans="2:9">
      <c r="B18" s="8" t="s">
        <v>27</v>
      </c>
      <c r="C18" s="150">
        <v>2.511E-2</v>
      </c>
      <c r="D18" s="49">
        <v>94124</v>
      </c>
      <c r="E18" s="49">
        <v>2363</v>
      </c>
      <c r="F18" s="49">
        <v>465030</v>
      </c>
      <c r="G18" s="49">
        <v>2691129</v>
      </c>
      <c r="H18" s="146">
        <v>28.591000000000001</v>
      </c>
    </row>
    <row r="19" spans="2:9">
      <c r="B19" s="8" t="s">
        <v>28</v>
      </c>
      <c r="C19" s="150">
        <v>3.5650000000000001E-2</v>
      </c>
      <c r="D19" s="49">
        <v>91761</v>
      </c>
      <c r="E19" s="49">
        <v>3272</v>
      </c>
      <c r="F19" s="49">
        <v>451227</v>
      </c>
      <c r="G19" s="49">
        <v>2226099</v>
      </c>
      <c r="H19" s="146">
        <v>24.26</v>
      </c>
    </row>
    <row r="20" spans="2:9">
      <c r="B20" s="8" t="s">
        <v>29</v>
      </c>
      <c r="C20" s="150">
        <v>5.8459999999999998E-2</v>
      </c>
      <c r="D20" s="49">
        <v>88489</v>
      </c>
      <c r="E20" s="49">
        <v>5173</v>
      </c>
      <c r="F20" s="49">
        <v>430527</v>
      </c>
      <c r="G20" s="49">
        <v>1774872</v>
      </c>
      <c r="H20" s="146">
        <v>20.058</v>
      </c>
    </row>
    <row r="21" spans="2:9">
      <c r="B21" s="8" t="s">
        <v>30</v>
      </c>
      <c r="C21" s="150">
        <v>9.5729999999999996E-2</v>
      </c>
      <c r="D21" s="49">
        <v>83316</v>
      </c>
      <c r="E21" s="49">
        <v>7976</v>
      </c>
      <c r="F21" s="49">
        <v>397968</v>
      </c>
      <c r="G21" s="49">
        <v>1344345</v>
      </c>
      <c r="H21" s="146">
        <v>16.135999999999999</v>
      </c>
    </row>
    <row r="22" spans="2:9">
      <c r="B22" s="8" t="s">
        <v>31</v>
      </c>
      <c r="C22" s="150">
        <v>0.14940999999999999</v>
      </c>
      <c r="D22" s="49">
        <v>75340</v>
      </c>
      <c r="E22" s="49">
        <v>11257</v>
      </c>
      <c r="F22" s="49">
        <v>350349</v>
      </c>
      <c r="G22" s="49">
        <v>946377</v>
      </c>
      <c r="H22" s="146">
        <v>12.561</v>
      </c>
    </row>
    <row r="23" spans="2:9">
      <c r="B23" s="8" t="s">
        <v>32</v>
      </c>
      <c r="C23" s="150">
        <v>0.24364</v>
      </c>
      <c r="D23" s="49">
        <v>64083</v>
      </c>
      <c r="E23" s="49">
        <v>15613</v>
      </c>
      <c r="F23" s="49">
        <v>285820</v>
      </c>
      <c r="G23" s="49">
        <v>596028</v>
      </c>
      <c r="H23" s="146">
        <v>9.3010000000000002</v>
      </c>
    </row>
    <row r="24" spans="2:9">
      <c r="B24" s="6" t="s">
        <v>5</v>
      </c>
      <c r="C24" s="151">
        <v>1</v>
      </c>
      <c r="D24" s="68">
        <v>47470</v>
      </c>
      <c r="E24" s="68">
        <v>48470</v>
      </c>
      <c r="F24" s="68">
        <v>310208</v>
      </c>
      <c r="G24" s="68">
        <v>310208</v>
      </c>
      <c r="H24" s="148">
        <v>6.4</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37</v>
      </c>
      <c r="C2" s="4"/>
      <c r="D2" s="4"/>
      <c r="E2" s="4"/>
      <c r="F2" s="4"/>
      <c r="G2" s="4"/>
      <c r="H2" s="4"/>
    </row>
    <row r="3" spans="2:62" ht="15.75">
      <c r="B3" s="5" t="s">
        <v>38</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1.2540000000000001E-2</v>
      </c>
      <c r="D6" s="95">
        <v>100000</v>
      </c>
      <c r="E6" s="95">
        <v>1254</v>
      </c>
      <c r="F6" s="95">
        <v>98908</v>
      </c>
      <c r="G6" s="95">
        <v>7341554</v>
      </c>
      <c r="H6" s="145">
        <v>73.415999999999997</v>
      </c>
    </row>
    <row r="7" spans="2:62">
      <c r="B7" s="8" t="s">
        <v>16</v>
      </c>
      <c r="C7" s="150">
        <v>1.2899999999999999E-3</v>
      </c>
      <c r="D7" s="49">
        <v>98746</v>
      </c>
      <c r="E7" s="49">
        <v>127</v>
      </c>
      <c r="F7" s="49">
        <v>394673</v>
      </c>
      <c r="G7" s="49">
        <v>7242646</v>
      </c>
      <c r="H7" s="146">
        <v>73.346000000000004</v>
      </c>
    </row>
    <row r="8" spans="2:62">
      <c r="B8" s="8" t="s">
        <v>17</v>
      </c>
      <c r="C8" s="150">
        <v>7.5000000000000002E-4</v>
      </c>
      <c r="D8" s="49">
        <v>98619</v>
      </c>
      <c r="E8" s="49">
        <v>74</v>
      </c>
      <c r="F8" s="49">
        <v>492897</v>
      </c>
      <c r="G8" s="49">
        <v>6847973</v>
      </c>
      <c r="H8" s="146">
        <v>69.438999999999993</v>
      </c>
    </row>
    <row r="9" spans="2:62">
      <c r="B9" s="8" t="s">
        <v>18</v>
      </c>
      <c r="C9" s="150">
        <v>9.8999999999999999E-4</v>
      </c>
      <c r="D9" s="49">
        <v>98545</v>
      </c>
      <c r="E9" s="49">
        <v>97</v>
      </c>
      <c r="F9" s="49">
        <v>492549</v>
      </c>
      <c r="G9" s="49">
        <v>6355076</v>
      </c>
      <c r="H9" s="146">
        <v>64.489000000000004</v>
      </c>
    </row>
    <row r="10" spans="2:62">
      <c r="B10" s="8" t="s">
        <v>19</v>
      </c>
      <c r="C10" s="150">
        <v>3.9699999999999996E-3</v>
      </c>
      <c r="D10" s="49">
        <v>98448</v>
      </c>
      <c r="E10" s="49">
        <v>391</v>
      </c>
      <c r="F10" s="49">
        <v>491391</v>
      </c>
      <c r="G10" s="49">
        <v>5862527</v>
      </c>
      <c r="H10" s="146">
        <v>59.548999999999999</v>
      </c>
      <c r="BD10" s="147"/>
      <c r="BF10" s="147"/>
    </row>
    <row r="11" spans="2:62">
      <c r="B11" s="8" t="s">
        <v>20</v>
      </c>
      <c r="C11" s="150">
        <v>7.2500000000000004E-3</v>
      </c>
      <c r="D11" s="49">
        <v>98057</v>
      </c>
      <c r="E11" s="49">
        <v>711</v>
      </c>
      <c r="F11" s="49">
        <v>488605</v>
      </c>
      <c r="G11" s="49">
        <v>5371136</v>
      </c>
      <c r="H11" s="146">
        <v>54.776000000000003</v>
      </c>
      <c r="BD11" s="147"/>
      <c r="BF11" s="147"/>
    </row>
    <row r="12" spans="2:62">
      <c r="B12" s="8" t="s">
        <v>21</v>
      </c>
      <c r="C12" s="150">
        <v>8.8500000000000002E-3</v>
      </c>
      <c r="D12" s="49">
        <v>97346</v>
      </c>
      <c r="E12" s="49">
        <v>861</v>
      </c>
      <c r="F12" s="49">
        <v>484673</v>
      </c>
      <c r="G12" s="49">
        <v>4882531</v>
      </c>
      <c r="H12" s="146">
        <v>50.155999999999999</v>
      </c>
    </row>
    <row r="13" spans="2:62">
      <c r="B13" s="8" t="s">
        <v>22</v>
      </c>
      <c r="C13" s="150">
        <v>1.209E-2</v>
      </c>
      <c r="D13" s="49">
        <v>96485</v>
      </c>
      <c r="E13" s="49">
        <v>1167</v>
      </c>
      <c r="F13" s="49">
        <v>479596</v>
      </c>
      <c r="G13" s="49">
        <v>4397858</v>
      </c>
      <c r="H13" s="146">
        <v>45.581000000000003</v>
      </c>
    </row>
    <row r="14" spans="2:62">
      <c r="B14" s="8" t="s">
        <v>23</v>
      </c>
      <c r="C14" s="150">
        <v>1.354E-2</v>
      </c>
      <c r="D14" s="49">
        <v>95318</v>
      </c>
      <c r="E14" s="49">
        <v>1290</v>
      </c>
      <c r="F14" s="49">
        <v>473471</v>
      </c>
      <c r="G14" s="49">
        <v>3918262</v>
      </c>
      <c r="H14" s="146">
        <v>41.106999999999999</v>
      </c>
    </row>
    <row r="15" spans="2:62">
      <c r="B15" s="8" t="s">
        <v>24</v>
      </c>
      <c r="C15" s="150">
        <v>1.7770000000000001E-2</v>
      </c>
      <c r="D15" s="49">
        <v>94028</v>
      </c>
      <c r="E15" s="49">
        <v>1671</v>
      </c>
      <c r="F15" s="49">
        <v>466158</v>
      </c>
      <c r="G15" s="49">
        <v>3444791</v>
      </c>
      <c r="H15" s="146">
        <v>36.636000000000003</v>
      </c>
      <c r="BD15" s="147"/>
      <c r="BF15" s="147"/>
      <c r="BH15" s="147"/>
      <c r="BJ15" s="147"/>
    </row>
    <row r="16" spans="2:62">
      <c r="B16" s="8" t="s">
        <v>25</v>
      </c>
      <c r="C16" s="150">
        <v>2.409E-2</v>
      </c>
      <c r="D16" s="49">
        <v>92357</v>
      </c>
      <c r="E16" s="49">
        <v>2225</v>
      </c>
      <c r="F16" s="49">
        <v>456690</v>
      </c>
      <c r="G16" s="49">
        <v>2978633</v>
      </c>
      <c r="H16" s="146">
        <v>32.250999999999998</v>
      </c>
      <c r="AV16" s="147"/>
      <c r="AX16" s="147"/>
      <c r="BD16" s="147"/>
      <c r="BF16" s="147"/>
    </row>
    <row r="17" spans="2:9">
      <c r="B17" s="8" t="s">
        <v>26</v>
      </c>
      <c r="C17" s="150">
        <v>4.2840000000000003E-2</v>
      </c>
      <c r="D17" s="49">
        <v>90132</v>
      </c>
      <c r="E17" s="49">
        <v>3862</v>
      </c>
      <c r="F17" s="49">
        <v>441719</v>
      </c>
      <c r="G17" s="49">
        <v>2521943</v>
      </c>
      <c r="H17" s="146">
        <v>27.981000000000002</v>
      </c>
    </row>
    <row r="18" spans="2:9">
      <c r="B18" s="8" t="s">
        <v>27</v>
      </c>
      <c r="C18" s="150">
        <v>6.5030000000000004E-2</v>
      </c>
      <c r="D18" s="49">
        <v>86270</v>
      </c>
      <c r="E18" s="49">
        <v>5610</v>
      </c>
      <c r="F18" s="49">
        <v>418017</v>
      </c>
      <c r="G18" s="49">
        <v>2080224</v>
      </c>
      <c r="H18" s="146">
        <v>24.113</v>
      </c>
    </row>
    <row r="19" spans="2:9">
      <c r="B19" s="8" t="s">
        <v>28</v>
      </c>
      <c r="C19" s="150">
        <v>8.8739999999999999E-2</v>
      </c>
      <c r="D19" s="49">
        <v>80660</v>
      </c>
      <c r="E19" s="49">
        <v>7158</v>
      </c>
      <c r="F19" s="49">
        <v>385889</v>
      </c>
      <c r="G19" s="49">
        <v>1662207</v>
      </c>
      <c r="H19" s="146">
        <v>20.608000000000001</v>
      </c>
    </row>
    <row r="20" spans="2:9">
      <c r="B20" s="8" t="s">
        <v>29</v>
      </c>
      <c r="C20" s="150">
        <v>0.10863</v>
      </c>
      <c r="D20" s="49">
        <v>73502</v>
      </c>
      <c r="E20" s="49">
        <v>7985</v>
      </c>
      <c r="F20" s="49">
        <v>348230</v>
      </c>
      <c r="G20" s="49">
        <v>1276318</v>
      </c>
      <c r="H20" s="146">
        <v>17.364000000000001</v>
      </c>
    </row>
    <row r="21" spans="2:9">
      <c r="B21" s="8" t="s">
        <v>30</v>
      </c>
      <c r="C21" s="150">
        <v>0.15407000000000001</v>
      </c>
      <c r="D21" s="49">
        <v>65517</v>
      </c>
      <c r="E21" s="49">
        <v>10094</v>
      </c>
      <c r="F21" s="49">
        <v>303128</v>
      </c>
      <c r="G21" s="49">
        <v>928088</v>
      </c>
      <c r="H21" s="146">
        <v>14.166</v>
      </c>
    </row>
    <row r="22" spans="2:9">
      <c r="B22" s="8" t="s">
        <v>31</v>
      </c>
      <c r="C22" s="150">
        <v>0.20902000000000001</v>
      </c>
      <c r="D22" s="49">
        <v>55423</v>
      </c>
      <c r="E22" s="49">
        <v>11585</v>
      </c>
      <c r="F22" s="49">
        <v>248756</v>
      </c>
      <c r="G22" s="49">
        <v>624960</v>
      </c>
      <c r="H22" s="146">
        <v>11.276</v>
      </c>
    </row>
    <row r="23" spans="2:9">
      <c r="B23" s="8" t="s">
        <v>32</v>
      </c>
      <c r="C23" s="150">
        <v>0.28771999999999998</v>
      </c>
      <c r="D23" s="49">
        <v>43838</v>
      </c>
      <c r="E23" s="49">
        <v>12613</v>
      </c>
      <c r="F23" s="49">
        <v>188854</v>
      </c>
      <c r="G23" s="49">
        <v>376204</v>
      </c>
      <c r="H23" s="146">
        <v>8.5820000000000007</v>
      </c>
    </row>
    <row r="24" spans="2:9">
      <c r="B24" s="6" t="s">
        <v>5</v>
      </c>
      <c r="C24" s="151">
        <v>1</v>
      </c>
      <c r="D24" s="68">
        <v>31225</v>
      </c>
      <c r="E24" s="68">
        <v>31225</v>
      </c>
      <c r="F24" s="68">
        <v>187350</v>
      </c>
      <c r="G24" s="68">
        <v>187350</v>
      </c>
      <c r="H24" s="148">
        <v>6</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35</v>
      </c>
      <c r="C2" s="4"/>
      <c r="D2" s="4"/>
      <c r="E2" s="4"/>
      <c r="F2" s="4"/>
      <c r="G2" s="4"/>
      <c r="H2" s="4"/>
    </row>
    <row r="3" spans="2:62" ht="15.75">
      <c r="B3" s="5" t="s">
        <v>36</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1.3140000000000001E-2</v>
      </c>
      <c r="D6" s="95">
        <v>100000</v>
      </c>
      <c r="E6" s="95">
        <v>1314</v>
      </c>
      <c r="F6" s="95">
        <v>98830</v>
      </c>
      <c r="G6" s="95">
        <v>7000145</v>
      </c>
      <c r="H6" s="145">
        <v>70.001000000000005</v>
      </c>
    </row>
    <row r="7" spans="2:62">
      <c r="B7" s="8" t="s">
        <v>16</v>
      </c>
      <c r="C7" s="150">
        <v>1.4300000000000001E-3</v>
      </c>
      <c r="D7" s="49">
        <v>98686</v>
      </c>
      <c r="E7" s="49">
        <v>141</v>
      </c>
      <c r="F7" s="49">
        <v>394396</v>
      </c>
      <c r="G7" s="49">
        <v>6901315</v>
      </c>
      <c r="H7" s="146">
        <v>69.932000000000002</v>
      </c>
    </row>
    <row r="8" spans="2:62">
      <c r="B8" s="8" t="s">
        <v>17</v>
      </c>
      <c r="C8" s="150">
        <v>7.6999999999999996E-4</v>
      </c>
      <c r="D8" s="49">
        <v>98545</v>
      </c>
      <c r="E8" s="49">
        <v>76</v>
      </c>
      <c r="F8" s="49">
        <v>492526</v>
      </c>
      <c r="G8" s="49">
        <v>6506919</v>
      </c>
      <c r="H8" s="146">
        <v>66.03</v>
      </c>
    </row>
    <row r="9" spans="2:62">
      <c r="B9" s="8" t="s">
        <v>18</v>
      </c>
      <c r="C9" s="150">
        <v>1.3500000000000001E-3</v>
      </c>
      <c r="D9" s="49">
        <v>98469</v>
      </c>
      <c r="E9" s="49">
        <v>133</v>
      </c>
      <c r="F9" s="49">
        <v>492121</v>
      </c>
      <c r="G9" s="49">
        <v>6014393</v>
      </c>
      <c r="H9" s="146">
        <v>61.079000000000001</v>
      </c>
    </row>
    <row r="10" spans="2:62">
      <c r="B10" s="8" t="s">
        <v>19</v>
      </c>
      <c r="C10" s="150">
        <v>6.0699999999999999E-3</v>
      </c>
      <c r="D10" s="49">
        <v>98336</v>
      </c>
      <c r="E10" s="49">
        <v>597</v>
      </c>
      <c r="F10" s="49">
        <v>490381</v>
      </c>
      <c r="G10" s="49">
        <v>5522272</v>
      </c>
      <c r="H10" s="146">
        <v>56.156999999999996</v>
      </c>
      <c r="BD10" s="147"/>
      <c r="BF10" s="147"/>
    </row>
    <row r="11" spans="2:62">
      <c r="B11" s="8" t="s">
        <v>20</v>
      </c>
      <c r="C11" s="150">
        <v>1.086E-2</v>
      </c>
      <c r="D11" s="49">
        <v>97739</v>
      </c>
      <c r="E11" s="49">
        <v>1061</v>
      </c>
      <c r="F11" s="49">
        <v>486179</v>
      </c>
      <c r="G11" s="49">
        <v>5031891</v>
      </c>
      <c r="H11" s="146">
        <v>51.482999999999997</v>
      </c>
      <c r="BD11" s="147"/>
      <c r="BF11" s="147"/>
    </row>
    <row r="12" spans="2:62">
      <c r="B12" s="8" t="s">
        <v>21</v>
      </c>
      <c r="C12" s="150">
        <v>1.299E-2</v>
      </c>
      <c r="D12" s="49">
        <v>96678</v>
      </c>
      <c r="E12" s="49">
        <v>1256</v>
      </c>
      <c r="F12" s="49">
        <v>480375</v>
      </c>
      <c r="G12" s="49">
        <v>4545712</v>
      </c>
      <c r="H12" s="146">
        <v>47.018999999999998</v>
      </c>
    </row>
    <row r="13" spans="2:62">
      <c r="B13" s="8" t="s">
        <v>22</v>
      </c>
      <c r="C13" s="150">
        <v>1.736E-2</v>
      </c>
      <c r="D13" s="49">
        <v>95422</v>
      </c>
      <c r="E13" s="49">
        <v>1656</v>
      </c>
      <c r="F13" s="49">
        <v>473068</v>
      </c>
      <c r="G13" s="49">
        <v>4065337</v>
      </c>
      <c r="H13" s="146">
        <v>42.603999999999999</v>
      </c>
    </row>
    <row r="14" spans="2:62">
      <c r="B14" s="8" t="s">
        <v>23</v>
      </c>
      <c r="C14" s="150">
        <v>1.8499999999999999E-2</v>
      </c>
      <c r="D14" s="49">
        <v>93766</v>
      </c>
      <c r="E14" s="49">
        <v>1735</v>
      </c>
      <c r="F14" s="49">
        <v>464584</v>
      </c>
      <c r="G14" s="49">
        <v>3592269</v>
      </c>
      <c r="H14" s="146">
        <v>38.311</v>
      </c>
    </row>
    <row r="15" spans="2:62">
      <c r="B15" s="8" t="s">
        <v>24</v>
      </c>
      <c r="C15" s="150">
        <v>2.2679999999999999E-2</v>
      </c>
      <c r="D15" s="49">
        <v>92031</v>
      </c>
      <c r="E15" s="49">
        <v>2087</v>
      </c>
      <c r="F15" s="49">
        <v>455137</v>
      </c>
      <c r="G15" s="49">
        <v>3127685</v>
      </c>
      <c r="H15" s="146">
        <v>33.984999999999999</v>
      </c>
      <c r="BD15" s="147"/>
      <c r="BF15" s="147"/>
      <c r="BH15" s="147"/>
      <c r="BJ15" s="147"/>
    </row>
    <row r="16" spans="2:62">
      <c r="B16" s="8" t="s">
        <v>25</v>
      </c>
      <c r="C16" s="150">
        <v>2.9829999999999999E-2</v>
      </c>
      <c r="D16" s="49">
        <v>89944</v>
      </c>
      <c r="E16" s="49">
        <v>2683</v>
      </c>
      <c r="F16" s="49">
        <v>443514</v>
      </c>
      <c r="G16" s="49">
        <v>2672548</v>
      </c>
      <c r="H16" s="146">
        <v>29.713000000000001</v>
      </c>
      <c r="AV16" s="147"/>
      <c r="AX16" s="147"/>
      <c r="BD16" s="147"/>
      <c r="BF16" s="147"/>
    </row>
    <row r="17" spans="2:9">
      <c r="B17" s="8" t="s">
        <v>26</v>
      </c>
      <c r="C17" s="150">
        <v>5.0709999999999998E-2</v>
      </c>
      <c r="D17" s="49">
        <v>87261</v>
      </c>
      <c r="E17" s="49">
        <v>4425</v>
      </c>
      <c r="F17" s="49">
        <v>426108</v>
      </c>
      <c r="G17" s="49">
        <v>2229034</v>
      </c>
      <c r="H17" s="146">
        <v>25.544</v>
      </c>
    </row>
    <row r="18" spans="2:9">
      <c r="B18" s="8" t="s">
        <v>27</v>
      </c>
      <c r="C18" s="150">
        <v>8.133E-2</v>
      </c>
      <c r="D18" s="49">
        <v>82836</v>
      </c>
      <c r="E18" s="49">
        <v>6737</v>
      </c>
      <c r="F18" s="49">
        <v>398280</v>
      </c>
      <c r="G18" s="49">
        <v>1802926</v>
      </c>
      <c r="H18" s="146">
        <v>21.765000000000001</v>
      </c>
    </row>
    <row r="19" spans="2:9">
      <c r="B19" s="8" t="s">
        <v>28</v>
      </c>
      <c r="C19" s="150">
        <v>0.11650000000000001</v>
      </c>
      <c r="D19" s="49">
        <v>76099</v>
      </c>
      <c r="E19" s="49">
        <v>8866</v>
      </c>
      <c r="F19" s="49">
        <v>358764</v>
      </c>
      <c r="G19" s="49">
        <v>1404646</v>
      </c>
      <c r="H19" s="146">
        <v>18.457999999999998</v>
      </c>
    </row>
    <row r="20" spans="2:9">
      <c r="B20" s="8" t="s">
        <v>29</v>
      </c>
      <c r="C20" s="150">
        <v>0.1351</v>
      </c>
      <c r="D20" s="49">
        <v>67233</v>
      </c>
      <c r="E20" s="49">
        <v>9083</v>
      </c>
      <c r="F20" s="49">
        <v>313980</v>
      </c>
      <c r="G20" s="49">
        <v>1045882</v>
      </c>
      <c r="H20" s="146">
        <v>15.555999999999999</v>
      </c>
    </row>
    <row r="21" spans="2:9">
      <c r="B21" s="8" t="s">
        <v>30</v>
      </c>
      <c r="C21" s="150">
        <v>0.18712000000000001</v>
      </c>
      <c r="D21" s="49">
        <v>58150</v>
      </c>
      <c r="E21" s="49">
        <v>10881</v>
      </c>
      <c r="F21" s="49">
        <v>264163</v>
      </c>
      <c r="G21" s="49">
        <v>731902</v>
      </c>
      <c r="H21" s="146">
        <v>12.586</v>
      </c>
    </row>
    <row r="22" spans="2:9">
      <c r="B22" s="8" t="s">
        <v>31</v>
      </c>
      <c r="C22" s="150">
        <v>0.2515</v>
      </c>
      <c r="D22" s="49">
        <v>47269</v>
      </c>
      <c r="E22" s="49">
        <v>11888</v>
      </c>
      <c r="F22" s="49">
        <v>207177</v>
      </c>
      <c r="G22" s="49">
        <v>467739</v>
      </c>
      <c r="H22" s="146">
        <v>9.8949999999999996</v>
      </c>
    </row>
    <row r="23" spans="2:9">
      <c r="B23" s="8" t="s">
        <v>32</v>
      </c>
      <c r="C23" s="150">
        <v>0.35944999999999999</v>
      </c>
      <c r="D23" s="49">
        <v>35381</v>
      </c>
      <c r="E23" s="49">
        <v>12718</v>
      </c>
      <c r="F23" s="49">
        <v>144981</v>
      </c>
      <c r="G23" s="49">
        <v>260562</v>
      </c>
      <c r="H23" s="146">
        <v>7.3639999999999999</v>
      </c>
    </row>
    <row r="24" spans="2:9">
      <c r="B24" s="6" t="s">
        <v>5</v>
      </c>
      <c r="C24" s="151">
        <v>1</v>
      </c>
      <c r="D24" s="68">
        <v>22663</v>
      </c>
      <c r="E24" s="68">
        <v>22663</v>
      </c>
      <c r="F24" s="68">
        <v>115581</v>
      </c>
      <c r="G24" s="68">
        <v>115581</v>
      </c>
      <c r="H24" s="148">
        <v>5.0999999999999996</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workbookViewId="0"/>
  </sheetViews>
  <sheetFormatPr defaultColWidth="12.83203125" defaultRowHeight="15"/>
  <cols>
    <col min="1" max="1" width="4.1640625" style="2" customWidth="1"/>
    <col min="2" max="2" width="12.83203125" style="2"/>
    <col min="3" max="6" width="13" style="2" bestFit="1" customWidth="1"/>
    <col min="7" max="7" width="14.1640625" style="2" bestFit="1" customWidth="1"/>
    <col min="8" max="8" width="13" style="2" bestFit="1" customWidth="1"/>
    <col min="9" max="11" width="12.83203125" style="2"/>
    <col min="12" max="12" width="14.1640625" style="2" customWidth="1"/>
    <col min="13" max="16384" width="12.83203125" style="2"/>
  </cols>
  <sheetData>
    <row r="1" spans="2:62">
      <c r="B1" s="110"/>
    </row>
    <row r="2" spans="2:62">
      <c r="B2" s="3" t="s">
        <v>33</v>
      </c>
      <c r="C2" s="4"/>
      <c r="D2" s="4"/>
      <c r="E2" s="4"/>
      <c r="F2" s="4"/>
      <c r="G2" s="4"/>
      <c r="H2" s="4"/>
    </row>
    <row r="3" spans="2:62" ht="15.75">
      <c r="B3" s="5" t="s">
        <v>34</v>
      </c>
      <c r="C3" s="4"/>
      <c r="D3" s="4"/>
      <c r="E3" s="4"/>
      <c r="F3" s="4"/>
      <c r="G3" s="4"/>
      <c r="H3" s="4"/>
    </row>
    <row r="4" spans="2:62">
      <c r="B4" s="3" t="s">
        <v>567</v>
      </c>
      <c r="C4" s="4"/>
      <c r="D4" s="4"/>
      <c r="E4" s="4"/>
      <c r="F4" s="4"/>
      <c r="G4" s="4"/>
      <c r="H4" s="4"/>
    </row>
    <row r="5" spans="2:62" ht="15" customHeight="1">
      <c r="B5" s="7" t="s">
        <v>8</v>
      </c>
      <c r="C5" s="20" t="s">
        <v>9</v>
      </c>
      <c r="D5" s="20" t="s">
        <v>10</v>
      </c>
      <c r="E5" s="20" t="s">
        <v>11</v>
      </c>
      <c r="F5" s="20" t="s">
        <v>12</v>
      </c>
      <c r="G5" s="20" t="s">
        <v>13</v>
      </c>
      <c r="H5" s="20" t="s">
        <v>14</v>
      </c>
    </row>
    <row r="6" spans="2:62">
      <c r="B6" s="8" t="s">
        <v>15</v>
      </c>
      <c r="C6" s="149">
        <v>1.191E-2</v>
      </c>
      <c r="D6" s="95">
        <v>100000</v>
      </c>
      <c r="E6" s="95">
        <v>1191</v>
      </c>
      <c r="F6" s="95">
        <v>98991</v>
      </c>
      <c r="G6" s="95">
        <v>7654991</v>
      </c>
      <c r="H6" s="145">
        <v>76.55</v>
      </c>
    </row>
    <row r="7" spans="2:62">
      <c r="B7" s="8" t="s">
        <v>16</v>
      </c>
      <c r="C7" s="150">
        <v>1.14E-3</v>
      </c>
      <c r="D7" s="49">
        <v>98809</v>
      </c>
      <c r="E7" s="49">
        <v>113</v>
      </c>
      <c r="F7" s="49">
        <v>394962</v>
      </c>
      <c r="G7" s="49">
        <v>7556000</v>
      </c>
      <c r="H7" s="146">
        <v>76.471000000000004</v>
      </c>
    </row>
    <row r="8" spans="2:62">
      <c r="B8" s="8" t="s">
        <v>17</v>
      </c>
      <c r="C8" s="150">
        <v>7.2000000000000005E-4</v>
      </c>
      <c r="D8" s="49">
        <v>98696</v>
      </c>
      <c r="E8" s="49">
        <v>71</v>
      </c>
      <c r="F8" s="49">
        <v>493286</v>
      </c>
      <c r="G8" s="49">
        <v>7161038</v>
      </c>
      <c r="H8" s="146">
        <v>72.557000000000002</v>
      </c>
    </row>
    <row r="9" spans="2:62">
      <c r="B9" s="8" t="s">
        <v>18</v>
      </c>
      <c r="C9" s="150">
        <v>6.0999999999999997E-4</v>
      </c>
      <c r="D9" s="49">
        <v>98625</v>
      </c>
      <c r="E9" s="49">
        <v>60</v>
      </c>
      <c r="F9" s="49">
        <v>492997</v>
      </c>
      <c r="G9" s="49">
        <v>6667752</v>
      </c>
      <c r="H9" s="146">
        <v>67.606999999999999</v>
      </c>
    </row>
    <row r="10" spans="2:62">
      <c r="B10" s="8" t="s">
        <v>19</v>
      </c>
      <c r="C10" s="150">
        <v>1.8E-3</v>
      </c>
      <c r="D10" s="49">
        <v>98565</v>
      </c>
      <c r="E10" s="49">
        <v>177</v>
      </c>
      <c r="F10" s="49">
        <v>492445</v>
      </c>
      <c r="G10" s="49">
        <v>6174755</v>
      </c>
      <c r="H10" s="146">
        <v>62.646999999999998</v>
      </c>
      <c r="BD10" s="147"/>
      <c r="BF10" s="147"/>
    </row>
    <row r="11" spans="2:62">
      <c r="B11" s="8" t="s">
        <v>20</v>
      </c>
      <c r="C11" s="150">
        <v>3.6600000000000001E-3</v>
      </c>
      <c r="D11" s="49">
        <v>98388</v>
      </c>
      <c r="E11" s="49">
        <v>360</v>
      </c>
      <c r="F11" s="49">
        <v>491103</v>
      </c>
      <c r="G11" s="49">
        <v>5682310</v>
      </c>
      <c r="H11" s="146">
        <v>57.753999999999998</v>
      </c>
      <c r="BD11" s="147"/>
      <c r="BF11" s="147"/>
    </row>
    <row r="12" spans="2:62">
      <c r="B12" s="8" t="s">
        <v>21</v>
      </c>
      <c r="C12" s="150">
        <v>4.9100000000000003E-3</v>
      </c>
      <c r="D12" s="49">
        <v>98028</v>
      </c>
      <c r="E12" s="49">
        <v>482</v>
      </c>
      <c r="F12" s="49">
        <v>489010</v>
      </c>
      <c r="G12" s="49">
        <v>5191207</v>
      </c>
      <c r="H12" s="146">
        <v>52.956000000000003</v>
      </c>
    </row>
    <row r="13" spans="2:62">
      <c r="B13" s="8" t="s">
        <v>22</v>
      </c>
      <c r="C13" s="150">
        <v>7.3499999999999998E-3</v>
      </c>
      <c r="D13" s="49">
        <v>97546</v>
      </c>
      <c r="E13" s="49">
        <v>717</v>
      </c>
      <c r="F13" s="49">
        <v>486022</v>
      </c>
      <c r="G13" s="49">
        <v>4702197</v>
      </c>
      <c r="H13" s="146">
        <v>48.204999999999998</v>
      </c>
    </row>
    <row r="14" spans="2:62">
      <c r="B14" s="8" t="s">
        <v>23</v>
      </c>
      <c r="C14" s="150">
        <v>9.1800000000000007E-3</v>
      </c>
      <c r="D14" s="49">
        <v>96829</v>
      </c>
      <c r="E14" s="49">
        <v>889</v>
      </c>
      <c r="F14" s="49">
        <v>482044</v>
      </c>
      <c r="G14" s="49">
        <v>4216175</v>
      </c>
      <c r="H14" s="146">
        <v>43.542000000000002</v>
      </c>
    </row>
    <row r="15" spans="2:62">
      <c r="B15" s="8" t="s">
        <v>24</v>
      </c>
      <c r="C15" s="150">
        <v>1.3509999999999999E-2</v>
      </c>
      <c r="D15" s="49">
        <v>95940</v>
      </c>
      <c r="E15" s="49">
        <v>1296</v>
      </c>
      <c r="F15" s="49">
        <v>476650</v>
      </c>
      <c r="G15" s="49">
        <v>3734131</v>
      </c>
      <c r="H15" s="146">
        <v>38.921999999999997</v>
      </c>
      <c r="BD15" s="147"/>
      <c r="BF15" s="147"/>
      <c r="BH15" s="147"/>
      <c r="BJ15" s="147"/>
    </row>
    <row r="16" spans="2:62">
      <c r="B16" s="8" t="s">
        <v>25</v>
      </c>
      <c r="C16" s="150">
        <v>1.9009999999999999E-2</v>
      </c>
      <c r="D16" s="49">
        <v>94644</v>
      </c>
      <c r="E16" s="49">
        <v>1800</v>
      </c>
      <c r="F16" s="49">
        <v>469156</v>
      </c>
      <c r="G16" s="49">
        <v>3257481</v>
      </c>
      <c r="H16" s="146">
        <v>34.417999999999999</v>
      </c>
      <c r="AV16" s="147"/>
      <c r="AX16" s="147"/>
      <c r="BD16" s="147"/>
      <c r="BF16" s="147"/>
    </row>
    <row r="17" spans="2:9">
      <c r="B17" s="8" t="s">
        <v>26</v>
      </c>
      <c r="C17" s="150">
        <v>3.6060000000000002E-2</v>
      </c>
      <c r="D17" s="49">
        <v>92844</v>
      </c>
      <c r="E17" s="49">
        <v>3348</v>
      </c>
      <c r="F17" s="49">
        <v>456430</v>
      </c>
      <c r="G17" s="49">
        <v>2788325</v>
      </c>
      <c r="H17" s="146">
        <v>30.032</v>
      </c>
    </row>
    <row r="18" spans="2:9">
      <c r="B18" s="8" t="s">
        <v>27</v>
      </c>
      <c r="C18" s="150">
        <v>5.117E-2</v>
      </c>
      <c r="D18" s="49">
        <v>89496</v>
      </c>
      <c r="E18" s="49">
        <v>4580</v>
      </c>
      <c r="F18" s="49">
        <v>436510</v>
      </c>
      <c r="G18" s="49">
        <v>2331895</v>
      </c>
      <c r="H18" s="146">
        <v>26.056000000000001</v>
      </c>
    </row>
    <row r="19" spans="2:9">
      <c r="B19" s="8" t="s">
        <v>28</v>
      </c>
      <c r="C19" s="150">
        <v>6.651E-2</v>
      </c>
      <c r="D19" s="49">
        <v>84916</v>
      </c>
      <c r="E19" s="49">
        <v>5648</v>
      </c>
      <c r="F19" s="49">
        <v>410968</v>
      </c>
      <c r="G19" s="49">
        <v>1895385</v>
      </c>
      <c r="H19" s="146">
        <v>22.321000000000002</v>
      </c>
    </row>
    <row r="20" spans="2:9">
      <c r="B20" s="8" t="s">
        <v>29</v>
      </c>
      <c r="C20" s="150">
        <v>8.7830000000000005E-2</v>
      </c>
      <c r="D20" s="49">
        <v>79268</v>
      </c>
      <c r="E20" s="49">
        <v>6962</v>
      </c>
      <c r="F20" s="49">
        <v>379746</v>
      </c>
      <c r="G20" s="49">
        <v>1484417</v>
      </c>
      <c r="H20" s="146">
        <v>18.727</v>
      </c>
    </row>
    <row r="21" spans="2:9">
      <c r="B21" s="8" t="s">
        <v>30</v>
      </c>
      <c r="C21" s="150">
        <v>0.12864999999999999</v>
      </c>
      <c r="D21" s="49">
        <v>72306</v>
      </c>
      <c r="E21" s="49">
        <v>9302</v>
      </c>
      <c r="F21" s="49">
        <v>339243</v>
      </c>
      <c r="G21" s="49">
        <v>1104671</v>
      </c>
      <c r="H21" s="146">
        <v>15.278</v>
      </c>
    </row>
    <row r="22" spans="2:9">
      <c r="B22" s="8" t="s">
        <v>31</v>
      </c>
      <c r="C22" s="150">
        <v>0.18115999999999999</v>
      </c>
      <c r="D22" s="49">
        <v>63004</v>
      </c>
      <c r="E22" s="49">
        <v>11414</v>
      </c>
      <c r="F22" s="49">
        <v>287201</v>
      </c>
      <c r="G22" s="49">
        <v>765428</v>
      </c>
      <c r="H22" s="146">
        <v>12.148999999999999</v>
      </c>
    </row>
    <row r="23" spans="2:9">
      <c r="B23" s="8" t="s">
        <v>32</v>
      </c>
      <c r="C23" s="150">
        <v>0.24429999999999999</v>
      </c>
      <c r="D23" s="49">
        <v>51590</v>
      </c>
      <c r="E23" s="49">
        <v>12603</v>
      </c>
      <c r="F23" s="49">
        <v>228710</v>
      </c>
      <c r="G23" s="49">
        <v>478227</v>
      </c>
      <c r="H23" s="146">
        <v>9.27</v>
      </c>
    </row>
    <row r="24" spans="2:9">
      <c r="B24" s="6" t="s">
        <v>5</v>
      </c>
      <c r="C24" s="151">
        <v>1</v>
      </c>
      <c r="D24" s="68">
        <v>38987</v>
      </c>
      <c r="E24" s="68">
        <v>38987</v>
      </c>
      <c r="F24" s="68">
        <v>249517</v>
      </c>
      <c r="G24" s="68">
        <v>249517</v>
      </c>
      <c r="H24" s="148">
        <v>6.4</v>
      </c>
    </row>
    <row r="26" spans="2:9">
      <c r="B26" s="344" t="s">
        <v>633</v>
      </c>
      <c r="C26" s="344"/>
      <c r="D26" s="344"/>
      <c r="E26" s="344"/>
      <c r="F26" s="344"/>
      <c r="G26" s="344"/>
      <c r="H26" s="344"/>
      <c r="I26" s="344"/>
    </row>
    <row r="27" spans="2:9">
      <c r="B27" s="344"/>
      <c r="C27" s="344"/>
      <c r="D27" s="344"/>
      <c r="E27" s="344"/>
      <c r="F27" s="344"/>
      <c r="G27" s="344"/>
      <c r="H27" s="344"/>
      <c r="I27" s="344"/>
    </row>
    <row r="28" spans="2:9">
      <c r="B28" s="275"/>
      <c r="C28" s="275"/>
      <c r="D28" s="275"/>
      <c r="E28" s="275"/>
      <c r="F28" s="275"/>
      <c r="G28" s="275"/>
      <c r="H28" s="275"/>
      <c r="I28" s="275"/>
    </row>
    <row r="29" spans="2:9">
      <c r="B29" s="276" t="s">
        <v>634</v>
      </c>
      <c r="C29" s="277"/>
      <c r="D29" s="277"/>
      <c r="E29" s="277"/>
      <c r="F29" s="277"/>
      <c r="G29" s="277"/>
      <c r="H29" s="277"/>
    </row>
    <row r="30" spans="2:9">
      <c r="B30" s="345" t="s">
        <v>635</v>
      </c>
      <c r="C30" s="345"/>
      <c r="D30" s="345"/>
      <c r="E30" s="345"/>
      <c r="F30" s="345"/>
      <c r="G30" s="345"/>
      <c r="H30" s="345"/>
    </row>
    <row r="31" spans="2:9">
      <c r="B31" s="345"/>
      <c r="C31" s="345"/>
      <c r="D31" s="345"/>
      <c r="E31" s="345"/>
      <c r="F31" s="345"/>
      <c r="G31" s="345"/>
      <c r="H31" s="345"/>
    </row>
    <row r="32" spans="2:9">
      <c r="B32" s="345" t="s">
        <v>636</v>
      </c>
      <c r="C32" s="345"/>
      <c r="D32" s="345"/>
      <c r="E32" s="345"/>
      <c r="F32" s="345"/>
      <c r="G32" s="345"/>
      <c r="H32" s="345"/>
    </row>
    <row r="33" spans="2:9">
      <c r="B33" s="345"/>
      <c r="C33" s="345"/>
      <c r="D33" s="345"/>
      <c r="E33" s="345"/>
      <c r="F33" s="345"/>
      <c r="G33" s="345"/>
      <c r="H33" s="345"/>
    </row>
    <row r="34" spans="2:9">
      <c r="B34" s="345" t="s">
        <v>637</v>
      </c>
      <c r="C34" s="345"/>
      <c r="D34" s="345"/>
      <c r="E34" s="345"/>
      <c r="F34" s="345"/>
      <c r="G34" s="345"/>
      <c r="H34" s="345"/>
    </row>
    <row r="35" spans="2:9">
      <c r="B35" s="345"/>
      <c r="C35" s="345"/>
      <c r="D35" s="345"/>
      <c r="E35" s="345"/>
      <c r="F35" s="345"/>
      <c r="G35" s="345"/>
      <c r="H35" s="345"/>
    </row>
    <row r="36" spans="2:9">
      <c r="B36" s="345" t="s">
        <v>638</v>
      </c>
      <c r="C36" s="345"/>
      <c r="D36" s="345"/>
      <c r="E36" s="345"/>
      <c r="F36" s="345"/>
      <c r="G36" s="345"/>
      <c r="H36" s="345"/>
      <c r="I36" s="345"/>
    </row>
    <row r="37" spans="2:9">
      <c r="B37" s="345"/>
      <c r="C37" s="345"/>
      <c r="D37" s="345"/>
      <c r="E37" s="345"/>
      <c r="F37" s="345"/>
      <c r="G37" s="345"/>
      <c r="H37" s="345"/>
      <c r="I37" s="345"/>
    </row>
    <row r="38" spans="2:9">
      <c r="B38" s="345" t="s">
        <v>639</v>
      </c>
      <c r="C38" s="345"/>
      <c r="D38" s="345"/>
      <c r="E38" s="345"/>
      <c r="F38" s="345"/>
      <c r="G38" s="345"/>
      <c r="H38" s="345"/>
    </row>
    <row r="39" spans="2:9">
      <c r="B39" s="345"/>
      <c r="C39" s="345"/>
      <c r="D39" s="345"/>
      <c r="E39" s="345"/>
      <c r="F39" s="345"/>
      <c r="G39" s="345"/>
      <c r="H39" s="345"/>
    </row>
    <row r="40" spans="2:9">
      <c r="B40" s="345" t="s">
        <v>640</v>
      </c>
      <c r="C40" s="345"/>
      <c r="D40" s="345"/>
      <c r="E40" s="345"/>
      <c r="F40" s="345"/>
      <c r="G40" s="345"/>
      <c r="H40" s="345"/>
    </row>
    <row r="41" spans="2:9">
      <c r="B41" s="345"/>
      <c r="C41" s="345"/>
      <c r="D41" s="345"/>
      <c r="E41" s="345"/>
      <c r="F41" s="345"/>
      <c r="G41" s="345"/>
      <c r="H41" s="345"/>
    </row>
    <row r="42" spans="2:9">
      <c r="B42" s="278"/>
      <c r="C42" s="278"/>
      <c r="D42" s="278"/>
      <c r="E42" s="278"/>
      <c r="F42" s="278"/>
      <c r="G42" s="278"/>
      <c r="H42" s="278"/>
    </row>
    <row r="43" spans="2:9">
      <c r="B43" s="346" t="s">
        <v>641</v>
      </c>
      <c r="C43" s="346"/>
      <c r="D43" s="346"/>
      <c r="E43" s="346"/>
      <c r="F43" s="346"/>
      <c r="G43" s="346"/>
      <c r="H43" s="346"/>
    </row>
    <row r="44" spans="2:9">
      <c r="B44" s="346"/>
      <c r="C44" s="346"/>
      <c r="D44" s="346"/>
      <c r="E44" s="346"/>
      <c r="F44" s="346"/>
      <c r="G44" s="346"/>
      <c r="H44" s="346"/>
    </row>
  </sheetData>
  <mergeCells count="8">
    <mergeCell ref="B38:H39"/>
    <mergeCell ref="B40:H41"/>
    <mergeCell ref="B43:H44"/>
    <mergeCell ref="B26:I27"/>
    <mergeCell ref="B30:H31"/>
    <mergeCell ref="B32:H33"/>
    <mergeCell ref="B34:H35"/>
    <mergeCell ref="B36:I37"/>
  </mergeCells>
  <phoneticPr fontId="1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workbookViewId="0"/>
  </sheetViews>
  <sheetFormatPr defaultColWidth="12.83203125" defaultRowHeight="15"/>
  <cols>
    <col min="1" max="1" width="4.5" style="2" customWidth="1"/>
    <col min="2" max="2" width="14.1640625" style="2" customWidth="1"/>
    <col min="3" max="3" width="12.83203125" style="2"/>
    <col min="4" max="5" width="11.1640625" style="2" bestFit="1" customWidth="1"/>
    <col min="6" max="6" width="10.33203125" style="2" bestFit="1" customWidth="1"/>
    <col min="7" max="8" width="11.1640625" style="2" bestFit="1" customWidth="1"/>
    <col min="9" max="9" width="10.33203125" style="2" bestFit="1" customWidth="1"/>
    <col min="10" max="12" width="11.1640625" style="2" bestFit="1" customWidth="1"/>
    <col min="13" max="34" width="12.83203125" style="2"/>
    <col min="35" max="35" width="6.1640625" style="2" customWidth="1"/>
    <col min="36" max="16384" width="12.83203125" style="2"/>
  </cols>
  <sheetData>
    <row r="1" spans="1:12" ht="15.75">
      <c r="A1" s="1"/>
      <c r="B1" s="152"/>
    </row>
    <row r="2" spans="1:12">
      <c r="B2" s="3" t="s">
        <v>49</v>
      </c>
      <c r="C2" s="4"/>
      <c r="D2" s="4"/>
      <c r="E2" s="4"/>
      <c r="F2" s="4"/>
      <c r="G2" s="4"/>
      <c r="H2" s="4"/>
      <c r="I2" s="4"/>
      <c r="J2" s="4"/>
      <c r="K2" s="4"/>
      <c r="L2" s="4"/>
    </row>
    <row r="3" spans="1:12" ht="15.75">
      <c r="B3" s="5" t="s">
        <v>50</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ht="15.75">
      <c r="B7" s="156"/>
      <c r="C7" s="157" t="s">
        <v>166</v>
      </c>
      <c r="D7" s="48">
        <v>1045.4000000000001</v>
      </c>
      <c r="E7" s="48">
        <v>1356</v>
      </c>
      <c r="F7" s="48">
        <v>822.3</v>
      </c>
      <c r="G7" s="48">
        <v>1015.7</v>
      </c>
      <c r="H7" s="48">
        <v>1319</v>
      </c>
      <c r="I7" s="48">
        <v>800.2</v>
      </c>
      <c r="J7" s="48">
        <v>1280.0999999999999</v>
      </c>
      <c r="K7" s="48">
        <v>1666.7</v>
      </c>
      <c r="L7" s="48">
        <v>986.3</v>
      </c>
    </row>
    <row r="8" spans="1:12">
      <c r="B8" s="11"/>
      <c r="C8" s="157" t="s">
        <v>252</v>
      </c>
      <c r="D8" s="48">
        <v>1043.8</v>
      </c>
      <c r="E8" s="48">
        <v>1353.5</v>
      </c>
      <c r="F8" s="48">
        <v>823.8</v>
      </c>
      <c r="G8" s="48">
        <v>1013.5</v>
      </c>
      <c r="H8" s="48">
        <v>1318.4</v>
      </c>
      <c r="I8" s="48">
        <v>799.6</v>
      </c>
      <c r="J8" s="48">
        <v>1289.7</v>
      </c>
      <c r="K8" s="48">
        <v>1652.2</v>
      </c>
      <c r="L8" s="48">
        <v>1012</v>
      </c>
    </row>
    <row r="9" spans="1:12">
      <c r="B9" s="11"/>
      <c r="C9" s="157" t="s">
        <v>253</v>
      </c>
      <c r="D9" s="48">
        <v>1028.0999999999999</v>
      </c>
      <c r="E9" s="48">
        <v>1339.2</v>
      </c>
      <c r="F9" s="48">
        <v>809.6</v>
      </c>
      <c r="G9" s="48">
        <v>998.1</v>
      </c>
      <c r="H9" s="48">
        <v>1305.0999999999999</v>
      </c>
      <c r="I9" s="48">
        <v>785.8</v>
      </c>
      <c r="J9" s="48">
        <v>1263.0999999999999</v>
      </c>
      <c r="K9" s="48">
        <v>1619.1</v>
      </c>
      <c r="L9" s="48">
        <v>992.6</v>
      </c>
    </row>
    <row r="10" spans="1:12">
      <c r="B10" s="11"/>
      <c r="C10" s="157" t="s">
        <v>254</v>
      </c>
      <c r="D10" s="48">
        <v>1029.2</v>
      </c>
      <c r="E10" s="48">
        <v>1324.3</v>
      </c>
      <c r="F10" s="48">
        <v>820</v>
      </c>
      <c r="G10" s="48">
        <v>998.5</v>
      </c>
      <c r="H10" s="48">
        <v>1287.5999999999999</v>
      </c>
      <c r="I10" s="48">
        <v>796.4</v>
      </c>
      <c r="J10" s="48">
        <v>1265.8</v>
      </c>
      <c r="K10" s="48">
        <v>1621.2</v>
      </c>
      <c r="L10" s="48">
        <v>997.2</v>
      </c>
    </row>
    <row r="11" spans="1:12">
      <c r="B11" s="11"/>
      <c r="C11" s="157" t="s">
        <v>255</v>
      </c>
      <c r="D11" s="48">
        <v>1012.3</v>
      </c>
      <c r="E11" s="48">
        <v>1304.5999999999999</v>
      </c>
      <c r="F11" s="48">
        <v>808.7</v>
      </c>
      <c r="G11" s="48">
        <v>980.5</v>
      </c>
      <c r="H11" s="48">
        <v>1264.9000000000001</v>
      </c>
      <c r="I11" s="48">
        <v>785.5</v>
      </c>
      <c r="J11" s="48">
        <v>1262.9000000000001</v>
      </c>
      <c r="K11" s="48">
        <v>1638</v>
      </c>
      <c r="L11" s="48">
        <v>982.7</v>
      </c>
    </row>
    <row r="12" spans="1:12">
      <c r="B12" s="11"/>
      <c r="C12" s="157" t="s">
        <v>256</v>
      </c>
      <c r="D12" s="48">
        <v>1027.0999999999999</v>
      </c>
      <c r="E12" s="48">
        <v>1333.9</v>
      </c>
      <c r="F12" s="48">
        <v>812.4</v>
      </c>
      <c r="G12" s="48">
        <v>993.8</v>
      </c>
      <c r="H12" s="48">
        <v>1293.2</v>
      </c>
      <c r="I12" s="48">
        <v>788.2</v>
      </c>
      <c r="J12" s="48">
        <v>1289.9000000000001</v>
      </c>
      <c r="K12" s="48">
        <v>1678.1</v>
      </c>
      <c r="L12" s="48">
        <v>996.5</v>
      </c>
    </row>
    <row r="13" spans="1:12">
      <c r="B13" s="11"/>
      <c r="C13" s="157" t="s">
        <v>257</v>
      </c>
      <c r="D13" s="48">
        <v>1035.5</v>
      </c>
      <c r="E13" s="48">
        <v>1330</v>
      </c>
      <c r="F13" s="48">
        <v>830.2</v>
      </c>
      <c r="G13" s="48">
        <v>1000</v>
      </c>
      <c r="H13" s="48">
        <v>1285.3</v>
      </c>
      <c r="I13" s="48">
        <v>804.7</v>
      </c>
      <c r="J13" s="48">
        <v>1310.0999999999999</v>
      </c>
      <c r="K13" s="48">
        <v>1700.7</v>
      </c>
      <c r="L13" s="48">
        <v>1019.6</v>
      </c>
    </row>
    <row r="14" spans="1:12">
      <c r="B14" s="11"/>
      <c r="C14" s="157" t="s">
        <v>258</v>
      </c>
      <c r="D14" s="48">
        <v>1012</v>
      </c>
      <c r="E14" s="48">
        <v>1292.9000000000001</v>
      </c>
      <c r="F14" s="48">
        <v>816.8</v>
      </c>
      <c r="G14" s="48">
        <v>973.4</v>
      </c>
      <c r="H14" s="48">
        <v>1241.3</v>
      </c>
      <c r="I14" s="48">
        <v>790.7</v>
      </c>
      <c r="J14" s="48">
        <v>1310.8</v>
      </c>
      <c r="K14" s="48">
        <v>1718</v>
      </c>
      <c r="L14" s="48">
        <v>1011.2</v>
      </c>
    </row>
    <row r="15" spans="1:12">
      <c r="B15" s="11"/>
      <c r="C15" s="157" t="s">
        <v>259</v>
      </c>
      <c r="D15" s="48">
        <v>1003.9</v>
      </c>
      <c r="E15" s="48">
        <v>1278</v>
      </c>
      <c r="F15" s="48">
        <v>811.8</v>
      </c>
      <c r="G15" s="48">
        <v>967.4</v>
      </c>
      <c r="H15" s="48">
        <v>1235.9000000000001</v>
      </c>
      <c r="I15" s="48">
        <v>782.5</v>
      </c>
      <c r="J15" s="48">
        <v>1287.0999999999999</v>
      </c>
      <c r="K15" s="48">
        <v>1630.6</v>
      </c>
      <c r="L15" s="48">
        <v>1029.2</v>
      </c>
    </row>
    <row r="16" spans="1:12" ht="15.75">
      <c r="B16" s="156" t="s">
        <v>52</v>
      </c>
      <c r="C16" s="157" t="s">
        <v>260</v>
      </c>
      <c r="D16" s="48">
        <v>966.8</v>
      </c>
      <c r="E16" s="48">
        <v>1224.5999999999999</v>
      </c>
      <c r="F16" s="48">
        <v>784.7</v>
      </c>
      <c r="G16" s="48">
        <v>922.1</v>
      </c>
      <c r="H16" s="48">
        <v>1169.2</v>
      </c>
      <c r="I16" s="48">
        <v>751.2</v>
      </c>
      <c r="J16" s="48">
        <v>1283.0999999999999</v>
      </c>
      <c r="K16" s="48">
        <v>1646.1</v>
      </c>
      <c r="L16" s="48">
        <v>1012</v>
      </c>
    </row>
    <row r="17" spans="2:12">
      <c r="B17" s="11"/>
      <c r="C17" s="157" t="s">
        <v>167</v>
      </c>
      <c r="D17" s="48">
        <v>954.1</v>
      </c>
      <c r="E17" s="48">
        <v>1212.8</v>
      </c>
      <c r="F17" s="48">
        <v>773</v>
      </c>
      <c r="G17" s="48">
        <v>912.3</v>
      </c>
      <c r="H17" s="48">
        <v>1158.8</v>
      </c>
      <c r="I17" s="48">
        <v>742.7</v>
      </c>
      <c r="J17" s="48">
        <v>1242.4000000000001</v>
      </c>
      <c r="K17" s="48">
        <v>1621.5</v>
      </c>
      <c r="L17" s="48">
        <v>965.5</v>
      </c>
    </row>
    <row r="18" spans="2:12">
      <c r="B18" s="11"/>
      <c r="C18" s="158" t="s">
        <v>168</v>
      </c>
      <c r="D18" s="48">
        <v>949.2</v>
      </c>
      <c r="E18" s="48">
        <v>1203.9000000000001</v>
      </c>
      <c r="F18" s="48">
        <v>770.9</v>
      </c>
      <c r="G18" s="48">
        <v>906.5</v>
      </c>
      <c r="H18" s="48">
        <v>1150.8</v>
      </c>
      <c r="I18" s="48">
        <v>739.4</v>
      </c>
      <c r="J18" s="48">
        <v>1245.5</v>
      </c>
      <c r="K18" s="48">
        <v>1595.9</v>
      </c>
      <c r="L18" s="48">
        <v>984</v>
      </c>
    </row>
    <row r="19" spans="2:12">
      <c r="B19" s="11"/>
      <c r="C19" s="158" t="s">
        <v>169</v>
      </c>
      <c r="D19" s="48">
        <v>920.3</v>
      </c>
      <c r="E19" s="48">
        <v>1169.7</v>
      </c>
      <c r="F19" s="48">
        <v>746.4</v>
      </c>
      <c r="G19" s="48">
        <v>876.7</v>
      </c>
      <c r="H19" s="48">
        <v>1115.5999999999999</v>
      </c>
      <c r="I19" s="48">
        <v>712.8</v>
      </c>
      <c r="J19" s="48">
        <v>1216.5999999999999</v>
      </c>
      <c r="K19" s="48">
        <v>1567.8</v>
      </c>
      <c r="L19" s="48">
        <v>962.2</v>
      </c>
    </row>
    <row r="20" spans="2:12">
      <c r="B20" s="11"/>
      <c r="C20" s="158" t="s">
        <v>170</v>
      </c>
      <c r="D20" s="48">
        <v>944.7</v>
      </c>
      <c r="E20" s="48">
        <v>1193</v>
      </c>
      <c r="F20" s="48">
        <v>771.3</v>
      </c>
      <c r="G20" s="48">
        <v>896.8</v>
      </c>
      <c r="H20" s="48">
        <v>1133</v>
      </c>
      <c r="I20" s="48">
        <v>735</v>
      </c>
      <c r="J20" s="48">
        <v>1275.0999999999999</v>
      </c>
      <c r="K20" s="48">
        <v>1631.5</v>
      </c>
      <c r="L20" s="48">
        <v>1012.8</v>
      </c>
    </row>
    <row r="21" spans="2:12">
      <c r="B21" s="11"/>
      <c r="C21" s="158" t="s">
        <v>53</v>
      </c>
      <c r="D21" s="159">
        <v>935.3</v>
      </c>
      <c r="E21" s="159">
        <v>1173.9000000000001</v>
      </c>
      <c r="F21" s="159">
        <v>767.2</v>
      </c>
      <c r="G21" s="159">
        <v>888.1</v>
      </c>
      <c r="H21" s="159">
        <v>1111.5</v>
      </c>
      <c r="I21" s="159">
        <v>733.5</v>
      </c>
      <c r="J21" s="159">
        <v>1265.9000000000001</v>
      </c>
      <c r="K21" s="48">
        <v>1642.9</v>
      </c>
      <c r="L21" s="159">
        <v>990.7</v>
      </c>
    </row>
    <row r="22" spans="2:12" s="14" customFormat="1">
      <c r="B22" s="11"/>
      <c r="C22" s="157">
        <v>1995</v>
      </c>
      <c r="D22" s="159">
        <v>929.2</v>
      </c>
      <c r="E22" s="159">
        <v>1160</v>
      </c>
      <c r="F22" s="159">
        <v>766.4</v>
      </c>
      <c r="G22" s="159">
        <v>882.5</v>
      </c>
      <c r="H22" s="159">
        <v>1100.5</v>
      </c>
      <c r="I22" s="159">
        <v>731.7</v>
      </c>
      <c r="J22" s="159">
        <v>1261.3</v>
      </c>
      <c r="K22" s="48">
        <v>1616.1</v>
      </c>
      <c r="L22" s="159">
        <v>1000.4</v>
      </c>
    </row>
    <row r="23" spans="2:12">
      <c r="B23" s="11"/>
      <c r="C23" s="157">
        <v>1996</v>
      </c>
      <c r="D23" s="159">
        <v>915</v>
      </c>
      <c r="E23" s="159">
        <v>1136.8</v>
      </c>
      <c r="F23" s="159">
        <v>758.3</v>
      </c>
      <c r="G23" s="159">
        <v>874.7</v>
      </c>
      <c r="H23" s="159">
        <v>1084.4000000000001</v>
      </c>
      <c r="I23" s="159">
        <v>728.5</v>
      </c>
      <c r="J23" s="159">
        <v>1193.3</v>
      </c>
      <c r="K23" s="48">
        <v>1531.7</v>
      </c>
      <c r="L23" s="159">
        <v>949.7</v>
      </c>
    </row>
    <row r="24" spans="2:12">
      <c r="B24" s="11"/>
      <c r="C24" s="157">
        <v>1997</v>
      </c>
      <c r="D24" s="159">
        <v>896.5</v>
      </c>
      <c r="E24" s="159">
        <v>1107.7</v>
      </c>
      <c r="F24" s="159">
        <v>747.1</v>
      </c>
      <c r="G24" s="159">
        <v>856.4</v>
      </c>
      <c r="H24" s="159">
        <v>1058.8</v>
      </c>
      <c r="I24" s="159">
        <v>714.3</v>
      </c>
      <c r="J24" s="159">
        <v>1182.2</v>
      </c>
      <c r="K24" s="48">
        <v>1478.8</v>
      </c>
      <c r="L24" s="159">
        <v>969.7</v>
      </c>
    </row>
    <row r="25" spans="2:12">
      <c r="B25" s="11"/>
      <c r="C25" s="157">
        <v>1998</v>
      </c>
      <c r="D25" s="159">
        <v>903.6</v>
      </c>
      <c r="E25" s="159">
        <v>1107.3</v>
      </c>
      <c r="F25" s="159">
        <v>756.5</v>
      </c>
      <c r="G25" s="159">
        <v>866.5</v>
      </c>
      <c r="H25" s="159">
        <v>1059.5999999999999</v>
      </c>
      <c r="I25" s="159">
        <v>727.9</v>
      </c>
      <c r="J25" s="159">
        <v>1173.9000000000001</v>
      </c>
      <c r="K25" s="48">
        <v>1484.4</v>
      </c>
      <c r="L25" s="159">
        <v>950.8</v>
      </c>
    </row>
    <row r="26" spans="2:12">
      <c r="B26" s="11"/>
      <c r="C26" s="157">
        <v>1999</v>
      </c>
      <c r="D26" s="159">
        <v>912.3</v>
      </c>
      <c r="E26" s="159">
        <v>1105.4000000000001</v>
      </c>
      <c r="F26" s="159">
        <v>772</v>
      </c>
      <c r="G26" s="159">
        <v>871.2</v>
      </c>
      <c r="H26" s="159">
        <v>1054.9000000000001</v>
      </c>
      <c r="I26" s="159">
        <v>738.7</v>
      </c>
      <c r="J26" s="159">
        <v>1219.9000000000001</v>
      </c>
      <c r="K26" s="48">
        <v>1512.5</v>
      </c>
      <c r="L26" s="159">
        <v>1006.8</v>
      </c>
    </row>
    <row r="27" spans="2:12">
      <c r="B27" s="11"/>
      <c r="C27" s="157">
        <v>2000</v>
      </c>
      <c r="D27" s="159">
        <v>900.8</v>
      </c>
      <c r="E27" s="159">
        <v>1084.4000000000001</v>
      </c>
      <c r="F27" s="159">
        <v>766.2</v>
      </c>
      <c r="G27" s="159">
        <v>864.5</v>
      </c>
      <c r="H27" s="159">
        <v>1042.2</v>
      </c>
      <c r="I27" s="159">
        <v>735.5</v>
      </c>
      <c r="J27" s="159">
        <v>1172.4000000000001</v>
      </c>
      <c r="K27" s="48">
        <v>1419.4</v>
      </c>
      <c r="L27" s="159">
        <v>985.5</v>
      </c>
    </row>
    <row r="28" spans="2:12">
      <c r="B28" s="11"/>
      <c r="C28" s="8">
        <v>2001</v>
      </c>
      <c r="D28" s="160">
        <v>882.3</v>
      </c>
      <c r="E28" s="160">
        <v>1065.9000000000001</v>
      </c>
      <c r="F28" s="160">
        <v>747</v>
      </c>
      <c r="G28" s="160">
        <v>845.3</v>
      </c>
      <c r="H28" s="160">
        <v>1022.7</v>
      </c>
      <c r="I28" s="160">
        <v>715.4</v>
      </c>
      <c r="J28" s="160">
        <v>1161.9000000000001</v>
      </c>
      <c r="K28" s="161">
        <v>1418.6</v>
      </c>
      <c r="L28" s="160">
        <v>972.3</v>
      </c>
    </row>
    <row r="29" spans="2:12" s="14" customFormat="1">
      <c r="B29" s="11"/>
      <c r="C29" s="157">
        <v>2002</v>
      </c>
      <c r="D29" s="159">
        <v>883.1</v>
      </c>
      <c r="E29" s="159">
        <v>1060.8</v>
      </c>
      <c r="F29" s="159">
        <v>751.8</v>
      </c>
      <c r="G29" s="159">
        <v>845</v>
      </c>
      <c r="H29" s="159">
        <v>1015.9</v>
      </c>
      <c r="I29" s="159">
        <v>719.4</v>
      </c>
      <c r="J29" s="159">
        <v>1179.2</v>
      </c>
      <c r="K29" s="48">
        <v>1439.7</v>
      </c>
      <c r="L29" s="159">
        <v>987.7</v>
      </c>
    </row>
    <row r="30" spans="2:12" s="14" customFormat="1">
      <c r="B30" s="11"/>
      <c r="C30" s="157">
        <v>2003</v>
      </c>
      <c r="D30" s="159">
        <v>856.4</v>
      </c>
      <c r="E30" s="159">
        <v>1023.7</v>
      </c>
      <c r="F30" s="159">
        <v>730.3</v>
      </c>
      <c r="G30" s="159">
        <v>822.6</v>
      </c>
      <c r="H30" s="159">
        <v>982.9</v>
      </c>
      <c r="I30" s="159">
        <v>702</v>
      </c>
      <c r="J30" s="159">
        <v>1118.5999999999999</v>
      </c>
      <c r="K30" s="48">
        <v>1373.1</v>
      </c>
      <c r="L30" s="159">
        <v>931.3</v>
      </c>
    </row>
    <row r="31" spans="2:12" s="14" customFormat="1">
      <c r="B31" s="11"/>
      <c r="C31" s="157">
        <v>2004</v>
      </c>
      <c r="D31" s="159">
        <v>833.6</v>
      </c>
      <c r="E31" s="159">
        <v>993.7</v>
      </c>
      <c r="F31" s="159">
        <v>712.7</v>
      </c>
      <c r="G31" s="159">
        <v>794.8</v>
      </c>
      <c r="H31" s="159">
        <v>944.3</v>
      </c>
      <c r="I31" s="159">
        <v>681.3</v>
      </c>
      <c r="J31" s="159">
        <v>1088.3</v>
      </c>
      <c r="K31" s="48">
        <v>1349.6</v>
      </c>
      <c r="L31" s="159">
        <v>905.2</v>
      </c>
    </row>
    <row r="32" spans="2:12" s="14" customFormat="1">
      <c r="B32" s="11"/>
      <c r="C32" s="157">
        <v>2005</v>
      </c>
      <c r="D32" s="159">
        <v>837.8</v>
      </c>
      <c r="E32" s="159">
        <v>989.1</v>
      </c>
      <c r="F32" s="159">
        <v>721.1</v>
      </c>
      <c r="G32" s="159">
        <v>800.5</v>
      </c>
      <c r="H32" s="159">
        <v>940.4</v>
      </c>
      <c r="I32" s="159">
        <v>692.7</v>
      </c>
      <c r="J32" s="159">
        <v>1078.5999999999999</v>
      </c>
      <c r="K32" s="48">
        <v>1330.8</v>
      </c>
      <c r="L32" s="159">
        <v>895.4</v>
      </c>
    </row>
    <row r="33" spans="1:13" s="14" customFormat="1">
      <c r="B33" s="11"/>
      <c r="C33" s="157">
        <v>2006</v>
      </c>
      <c r="D33" s="159">
        <v>815.1</v>
      </c>
      <c r="E33" s="159">
        <v>968.4</v>
      </c>
      <c r="F33" s="159">
        <v>697.1</v>
      </c>
      <c r="G33" s="159">
        <v>777.6</v>
      </c>
      <c r="H33" s="159">
        <v>919.9</v>
      </c>
      <c r="I33" s="159">
        <v>667.4</v>
      </c>
      <c r="J33" s="159">
        <v>1058.2</v>
      </c>
      <c r="K33" s="48">
        <v>1315</v>
      </c>
      <c r="L33" s="159">
        <v>873.8</v>
      </c>
    </row>
    <row r="34" spans="1:13" s="14" customFormat="1">
      <c r="B34" s="11"/>
      <c r="C34" s="157">
        <v>2007</v>
      </c>
      <c r="D34" s="159">
        <v>807.3</v>
      </c>
      <c r="E34" s="159">
        <v>963</v>
      </c>
      <c r="F34" s="159">
        <v>687</v>
      </c>
      <c r="G34" s="159">
        <v>769.4</v>
      </c>
      <c r="H34" s="159">
        <v>915</v>
      </c>
      <c r="I34" s="159">
        <v>656.4</v>
      </c>
      <c r="J34" s="159">
        <v>1044.4000000000001</v>
      </c>
      <c r="K34" s="48">
        <v>1295.5999999999999</v>
      </c>
      <c r="L34" s="159">
        <v>864.2</v>
      </c>
    </row>
    <row r="35" spans="1:13" s="14" customFormat="1">
      <c r="B35" s="11"/>
      <c r="C35" s="157">
        <v>2008</v>
      </c>
      <c r="D35" s="159">
        <v>810.4</v>
      </c>
      <c r="E35" s="159">
        <v>957.3</v>
      </c>
      <c r="F35" s="159">
        <v>695.4</v>
      </c>
      <c r="G35" s="159">
        <v>776.4</v>
      </c>
      <c r="H35" s="159">
        <v>913.5</v>
      </c>
      <c r="I35" s="159">
        <v>668.8</v>
      </c>
      <c r="J35" s="159">
        <v>1035.2</v>
      </c>
      <c r="K35" s="48">
        <v>1272.0999999999999</v>
      </c>
      <c r="L35" s="159">
        <v>862</v>
      </c>
    </row>
    <row r="36" spans="1:13" s="14" customFormat="1">
      <c r="B36" s="11"/>
      <c r="C36" s="157">
        <v>2009</v>
      </c>
      <c r="D36" s="159">
        <v>781.8</v>
      </c>
      <c r="E36" s="159">
        <v>932.9</v>
      </c>
      <c r="F36" s="159">
        <v>664.1</v>
      </c>
      <c r="G36" s="159">
        <v>749</v>
      </c>
      <c r="H36" s="159">
        <v>890.6</v>
      </c>
      <c r="I36" s="159">
        <v>638.70000000000005</v>
      </c>
      <c r="J36" s="159">
        <v>992.8</v>
      </c>
      <c r="K36" s="48">
        <v>1228.7</v>
      </c>
      <c r="L36" s="159">
        <v>818.6</v>
      </c>
    </row>
    <row r="37" spans="1:13" s="14" customFormat="1">
      <c r="B37" s="11"/>
      <c r="C37" s="157">
        <v>2010</v>
      </c>
      <c r="D37" s="159">
        <v>784.1</v>
      </c>
      <c r="E37" s="159">
        <v>924.6</v>
      </c>
      <c r="F37" s="159">
        <v>672.1</v>
      </c>
      <c r="G37" s="159">
        <v>755.9</v>
      </c>
      <c r="H37" s="159">
        <v>889.7</v>
      </c>
      <c r="I37" s="159">
        <v>648.5</v>
      </c>
      <c r="J37" s="159">
        <v>969.8</v>
      </c>
      <c r="K37" s="48">
        <v>1173.5999999999999</v>
      </c>
      <c r="L37" s="159">
        <v>820.5</v>
      </c>
    </row>
    <row r="38" spans="1:13" s="14" customFormat="1">
      <c r="B38" s="11"/>
      <c r="C38" s="157">
        <v>2011</v>
      </c>
      <c r="D38" s="159">
        <v>784.8</v>
      </c>
      <c r="E38" s="159">
        <v>925.8</v>
      </c>
      <c r="F38" s="159">
        <v>671.7</v>
      </c>
      <c r="G38" s="159">
        <v>758</v>
      </c>
      <c r="H38" s="159">
        <v>890.4</v>
      </c>
      <c r="I38" s="159">
        <v>651.20000000000005</v>
      </c>
      <c r="J38" s="159">
        <v>967.8</v>
      </c>
      <c r="K38" s="48">
        <v>1195.4000000000001</v>
      </c>
      <c r="L38" s="159">
        <v>800.1</v>
      </c>
    </row>
    <row r="39" spans="1:13" s="14" customFormat="1">
      <c r="B39" s="11"/>
      <c r="C39" s="157">
        <v>2012</v>
      </c>
      <c r="D39" s="159">
        <v>774.5</v>
      </c>
      <c r="E39" s="159">
        <v>911.5</v>
      </c>
      <c r="F39" s="159">
        <v>663.4</v>
      </c>
      <c r="G39" s="159">
        <v>747.4</v>
      </c>
      <c r="H39" s="159">
        <v>873.9</v>
      </c>
      <c r="I39" s="159">
        <v>644.4</v>
      </c>
      <c r="J39" s="159">
        <v>964.4</v>
      </c>
      <c r="K39" s="48">
        <v>1189.9000000000001</v>
      </c>
      <c r="L39" s="159">
        <v>794.1</v>
      </c>
    </row>
    <row r="40" spans="1:13" s="14" customFormat="1">
      <c r="B40" s="11"/>
      <c r="C40" s="157">
        <v>2013</v>
      </c>
      <c r="D40" s="159">
        <v>782.8</v>
      </c>
      <c r="E40" s="159">
        <v>920.8</v>
      </c>
      <c r="F40" s="159">
        <v>669.4</v>
      </c>
      <c r="G40" s="159">
        <v>757.7</v>
      </c>
      <c r="H40" s="159">
        <v>887.9</v>
      </c>
      <c r="I40" s="159">
        <v>649.6</v>
      </c>
      <c r="J40" s="159">
        <v>964</v>
      </c>
      <c r="K40" s="48">
        <v>1184.0999999999999</v>
      </c>
      <c r="L40" s="159">
        <v>801</v>
      </c>
    </row>
    <row r="41" spans="1:13" s="14" customFormat="1">
      <c r="B41" s="11"/>
      <c r="C41" s="157"/>
      <c r="D41" s="159"/>
      <c r="E41" s="159"/>
      <c r="F41" s="159"/>
      <c r="G41" s="159"/>
      <c r="H41" s="159"/>
      <c r="I41" s="159"/>
      <c r="J41" s="159"/>
      <c r="K41" s="48"/>
      <c r="L41" s="159"/>
    </row>
    <row r="42" spans="1:13" s="14" customFormat="1" ht="15.75">
      <c r="A42" s="2"/>
      <c r="B42" s="162"/>
      <c r="C42" s="163" t="s">
        <v>166</v>
      </c>
      <c r="D42" s="164">
        <v>1039.0999999999999</v>
      </c>
      <c r="E42" s="164">
        <v>1348.1</v>
      </c>
      <c r="F42" s="164">
        <v>817.9</v>
      </c>
      <c r="G42" s="164">
        <v>1012.7</v>
      </c>
      <c r="H42" s="164">
        <v>1317.6</v>
      </c>
      <c r="I42" s="164">
        <v>796.1</v>
      </c>
      <c r="J42" s="164">
        <v>1314.8</v>
      </c>
      <c r="K42" s="164">
        <v>1697.8</v>
      </c>
      <c r="L42" s="164">
        <v>1033.3</v>
      </c>
      <c r="M42" s="73"/>
    </row>
    <row r="43" spans="1:13" ht="15.75">
      <c r="B43" s="165"/>
      <c r="C43" s="157" t="s">
        <v>252</v>
      </c>
      <c r="D43" s="48">
        <v>1007.1</v>
      </c>
      <c r="E43" s="48">
        <v>1308.2</v>
      </c>
      <c r="F43" s="48">
        <v>792.7</v>
      </c>
      <c r="G43" s="48">
        <v>984</v>
      </c>
      <c r="H43" s="48">
        <v>1282.2</v>
      </c>
      <c r="I43" s="48">
        <v>773.6</v>
      </c>
      <c r="J43" s="48">
        <v>1258.4000000000001</v>
      </c>
      <c r="K43" s="48">
        <v>1626.6</v>
      </c>
      <c r="L43" s="48">
        <v>986.6</v>
      </c>
    </row>
    <row r="44" spans="1:13">
      <c r="B44" s="11"/>
      <c r="C44" s="157" t="s">
        <v>253</v>
      </c>
      <c r="D44" s="48">
        <v>985</v>
      </c>
      <c r="E44" s="48">
        <v>1279.9000000000001</v>
      </c>
      <c r="F44" s="48">
        <v>776.6</v>
      </c>
      <c r="G44" s="48">
        <v>963.6</v>
      </c>
      <c r="H44" s="48">
        <v>1255.9000000000001</v>
      </c>
      <c r="I44" s="48">
        <v>758.7</v>
      </c>
      <c r="J44" s="48">
        <v>1221.3</v>
      </c>
      <c r="K44" s="48">
        <v>1580.4</v>
      </c>
      <c r="L44" s="48">
        <v>960.1</v>
      </c>
    </row>
    <row r="45" spans="1:13">
      <c r="B45" s="11"/>
      <c r="C45" s="157" t="s">
        <v>254</v>
      </c>
      <c r="D45" s="48">
        <v>990</v>
      </c>
      <c r="E45" s="48">
        <v>1284.5</v>
      </c>
      <c r="F45" s="48">
        <v>783.3</v>
      </c>
      <c r="G45" s="48">
        <v>967.3</v>
      </c>
      <c r="H45" s="48">
        <v>1259.4000000000001</v>
      </c>
      <c r="I45" s="48">
        <v>763.9</v>
      </c>
      <c r="J45" s="48">
        <v>1240.5</v>
      </c>
      <c r="K45" s="48">
        <v>1600.7</v>
      </c>
      <c r="L45" s="48">
        <v>980.7</v>
      </c>
    </row>
    <row r="46" spans="1:13">
      <c r="B46" s="11"/>
      <c r="C46" s="157" t="s">
        <v>255</v>
      </c>
      <c r="D46" s="48">
        <v>982.5</v>
      </c>
      <c r="E46" s="48">
        <v>1271.4000000000001</v>
      </c>
      <c r="F46" s="48">
        <v>779.8</v>
      </c>
      <c r="G46" s="48">
        <v>959.7</v>
      </c>
      <c r="H46" s="48">
        <v>1245.9000000000001</v>
      </c>
      <c r="I46" s="48">
        <v>760.7</v>
      </c>
      <c r="J46" s="48">
        <v>1236.7</v>
      </c>
      <c r="K46" s="48">
        <v>1600.8</v>
      </c>
      <c r="L46" s="48">
        <v>976.9</v>
      </c>
    </row>
    <row r="47" spans="1:13">
      <c r="B47" s="11"/>
      <c r="C47" s="157" t="s">
        <v>256</v>
      </c>
      <c r="D47" s="48">
        <v>988.1</v>
      </c>
      <c r="E47" s="48">
        <v>1278.0999999999999</v>
      </c>
      <c r="F47" s="48">
        <v>784.5</v>
      </c>
      <c r="G47" s="48">
        <v>963.6</v>
      </c>
      <c r="H47" s="48">
        <v>1249.8</v>
      </c>
      <c r="I47" s="48">
        <v>764.3</v>
      </c>
      <c r="J47" s="48">
        <v>1261.2</v>
      </c>
      <c r="K47" s="48">
        <v>1634.5</v>
      </c>
      <c r="L47" s="48">
        <v>994.4</v>
      </c>
    </row>
    <row r="48" spans="1:13">
      <c r="B48" s="11"/>
      <c r="C48" s="157" t="s">
        <v>257</v>
      </c>
      <c r="D48" s="48">
        <v>978.6</v>
      </c>
      <c r="E48" s="48">
        <v>1261.7</v>
      </c>
      <c r="F48" s="48">
        <v>778.7</v>
      </c>
      <c r="G48" s="48">
        <v>952.8</v>
      </c>
      <c r="H48" s="48">
        <v>1230.5</v>
      </c>
      <c r="I48" s="48">
        <v>758.1</v>
      </c>
      <c r="J48" s="48">
        <v>1266.7</v>
      </c>
      <c r="K48" s="48">
        <v>1650.1</v>
      </c>
      <c r="L48" s="48">
        <v>994.4</v>
      </c>
    </row>
    <row r="49" spans="2:12">
      <c r="B49" s="11"/>
      <c r="C49" s="157" t="s">
        <v>258</v>
      </c>
      <c r="D49" s="48">
        <v>970</v>
      </c>
      <c r="E49" s="48">
        <v>1246.0999999999999</v>
      </c>
      <c r="F49" s="48">
        <v>774.2</v>
      </c>
      <c r="G49" s="48">
        <v>943.4</v>
      </c>
      <c r="H49" s="48">
        <v>1213.4000000000001</v>
      </c>
      <c r="I49" s="48">
        <v>753.3</v>
      </c>
      <c r="J49" s="48">
        <v>1263.0999999999999</v>
      </c>
      <c r="K49" s="48">
        <v>1650.3</v>
      </c>
      <c r="L49" s="48">
        <v>989.7</v>
      </c>
    </row>
    <row r="50" spans="2:12">
      <c r="B50" s="11"/>
      <c r="C50" s="157" t="s">
        <v>259</v>
      </c>
      <c r="D50" s="48">
        <v>975.7</v>
      </c>
      <c r="E50" s="48">
        <v>1250.7</v>
      </c>
      <c r="F50" s="48">
        <v>781</v>
      </c>
      <c r="G50" s="48">
        <v>947.6</v>
      </c>
      <c r="H50" s="48">
        <v>1215.9000000000001</v>
      </c>
      <c r="I50" s="48">
        <v>759.1</v>
      </c>
      <c r="J50" s="48">
        <v>1284.3</v>
      </c>
      <c r="K50" s="48">
        <v>1677.6</v>
      </c>
      <c r="L50" s="48">
        <v>1006.8</v>
      </c>
    </row>
    <row r="51" spans="2:12" ht="15.75">
      <c r="B51" s="156" t="s">
        <v>54</v>
      </c>
      <c r="C51" s="157" t="s">
        <v>260</v>
      </c>
      <c r="D51" s="48">
        <v>950.5</v>
      </c>
      <c r="E51" s="48">
        <v>1215</v>
      </c>
      <c r="F51" s="48">
        <v>761.8</v>
      </c>
      <c r="G51" s="48">
        <v>920.2</v>
      </c>
      <c r="H51" s="48">
        <v>1176.5999999999999</v>
      </c>
      <c r="I51" s="48">
        <v>738.8</v>
      </c>
      <c r="J51" s="48">
        <v>1275.5</v>
      </c>
      <c r="K51" s="48">
        <v>1670.1</v>
      </c>
      <c r="L51" s="48">
        <v>998.1</v>
      </c>
    </row>
    <row r="52" spans="2:12" ht="15.75">
      <c r="B52" s="165" t="s">
        <v>55</v>
      </c>
      <c r="C52" s="157" t="s">
        <v>167</v>
      </c>
      <c r="D52" s="48">
        <v>938.7</v>
      </c>
      <c r="E52" s="48">
        <v>1202.8</v>
      </c>
      <c r="F52" s="48">
        <v>750.9</v>
      </c>
      <c r="G52" s="48">
        <v>909.8</v>
      </c>
      <c r="H52" s="48">
        <v>1165.9000000000001</v>
      </c>
      <c r="I52" s="48">
        <v>728.8</v>
      </c>
      <c r="J52" s="48">
        <v>1250.3</v>
      </c>
      <c r="K52" s="48">
        <v>1644.5</v>
      </c>
      <c r="L52" s="48">
        <v>975.1</v>
      </c>
    </row>
    <row r="53" spans="2:12">
      <c r="B53" s="11"/>
      <c r="C53" s="157" t="s">
        <v>168</v>
      </c>
      <c r="D53" s="48">
        <v>922.3</v>
      </c>
      <c r="E53" s="48">
        <v>1180.5</v>
      </c>
      <c r="F53" s="48">
        <v>738.2</v>
      </c>
      <c r="G53" s="48">
        <v>893.2</v>
      </c>
      <c r="H53" s="48">
        <v>1143.0999999999999</v>
      </c>
      <c r="I53" s="48">
        <v>716.1</v>
      </c>
      <c r="J53" s="48">
        <v>1235.4000000000001</v>
      </c>
      <c r="K53" s="48">
        <v>1626.1</v>
      </c>
      <c r="L53" s="48">
        <v>963.3</v>
      </c>
    </row>
    <row r="54" spans="2:12">
      <c r="B54" s="11"/>
      <c r="C54" s="157">
        <v>1992</v>
      </c>
      <c r="D54" s="48">
        <v>905.6</v>
      </c>
      <c r="E54" s="48">
        <v>1158.3</v>
      </c>
      <c r="F54" s="48">
        <v>725.5</v>
      </c>
      <c r="G54" s="48">
        <v>877.7</v>
      </c>
      <c r="H54" s="48">
        <v>1122.4000000000001</v>
      </c>
      <c r="I54" s="48">
        <v>704.1</v>
      </c>
      <c r="J54" s="48">
        <v>1206.7</v>
      </c>
      <c r="K54" s="48">
        <v>1587.8</v>
      </c>
      <c r="L54" s="48">
        <v>942.5</v>
      </c>
    </row>
    <row r="55" spans="2:12">
      <c r="B55" s="11"/>
      <c r="C55" s="158" t="s">
        <v>170</v>
      </c>
      <c r="D55" s="159">
        <v>926.1</v>
      </c>
      <c r="E55" s="159">
        <v>1177.3</v>
      </c>
      <c r="F55" s="159">
        <v>745.9</v>
      </c>
      <c r="G55" s="159">
        <v>897</v>
      </c>
      <c r="H55" s="159">
        <v>1138.9000000000001</v>
      </c>
      <c r="I55" s="159">
        <v>724.1</v>
      </c>
      <c r="J55" s="159">
        <v>1241.2</v>
      </c>
      <c r="K55" s="159">
        <v>1632.2</v>
      </c>
      <c r="L55" s="159">
        <v>969.5</v>
      </c>
    </row>
    <row r="56" spans="2:12">
      <c r="B56" s="166"/>
      <c r="C56" s="157">
        <v>1994</v>
      </c>
      <c r="D56" s="159">
        <v>913.5</v>
      </c>
      <c r="E56" s="167">
        <v>1155.5</v>
      </c>
      <c r="F56" s="167">
        <v>738.6</v>
      </c>
      <c r="G56" s="167">
        <v>885.6</v>
      </c>
      <c r="H56" s="167">
        <v>1118.7</v>
      </c>
      <c r="I56" s="167">
        <v>717.5</v>
      </c>
      <c r="J56" s="167">
        <v>1216.9000000000001</v>
      </c>
      <c r="K56" s="167">
        <v>1592.8</v>
      </c>
      <c r="L56" s="167">
        <v>954.6</v>
      </c>
    </row>
    <row r="57" spans="2:12" s="14" customFormat="1">
      <c r="B57" s="166"/>
      <c r="C57" s="158" t="s">
        <v>56</v>
      </c>
      <c r="D57" s="159">
        <v>909.8</v>
      </c>
      <c r="E57" s="168">
        <v>1143.9000000000001</v>
      </c>
      <c r="F57" s="168">
        <v>739.4</v>
      </c>
      <c r="G57" s="168">
        <v>882.3</v>
      </c>
      <c r="H57" s="168">
        <v>1107.5</v>
      </c>
      <c r="I57" s="168">
        <v>718.7</v>
      </c>
      <c r="J57" s="168">
        <v>1213.9000000000001</v>
      </c>
      <c r="K57" s="168">
        <v>1585.7</v>
      </c>
      <c r="L57" s="168">
        <v>955.9</v>
      </c>
    </row>
    <row r="58" spans="2:12">
      <c r="B58" s="166"/>
      <c r="C58" s="158" t="s">
        <v>57</v>
      </c>
      <c r="D58" s="159">
        <v>894.1</v>
      </c>
      <c r="E58" s="168">
        <v>1115.7</v>
      </c>
      <c r="F58" s="168">
        <v>733</v>
      </c>
      <c r="G58" s="168">
        <v>869</v>
      </c>
      <c r="H58" s="168">
        <v>1082.9000000000001</v>
      </c>
      <c r="I58" s="168">
        <v>713.6</v>
      </c>
      <c r="J58" s="168">
        <v>1178.4000000000001</v>
      </c>
      <c r="K58" s="168">
        <v>1524.2</v>
      </c>
      <c r="L58" s="168">
        <v>940.3</v>
      </c>
    </row>
    <row r="59" spans="2:12">
      <c r="B59" s="166"/>
      <c r="C59" s="158" t="s">
        <v>58</v>
      </c>
      <c r="D59" s="159">
        <v>878.1</v>
      </c>
      <c r="E59" s="168">
        <v>1088.0999999999999</v>
      </c>
      <c r="F59" s="168">
        <v>725.6</v>
      </c>
      <c r="G59" s="168">
        <v>855.7</v>
      </c>
      <c r="H59" s="168">
        <v>1059.0999999999999</v>
      </c>
      <c r="I59" s="168">
        <v>707.8</v>
      </c>
      <c r="J59" s="168">
        <v>1139.8</v>
      </c>
      <c r="K59" s="168">
        <v>1458.8</v>
      </c>
      <c r="L59" s="168">
        <v>922.1</v>
      </c>
    </row>
    <row r="60" spans="2:12">
      <c r="B60" s="166"/>
      <c r="C60" s="158" t="s">
        <v>59</v>
      </c>
      <c r="D60" s="159">
        <v>870.6</v>
      </c>
      <c r="E60" s="167">
        <v>1069.4000000000001</v>
      </c>
      <c r="F60" s="167">
        <v>724.7</v>
      </c>
      <c r="G60" s="167">
        <v>849.3</v>
      </c>
      <c r="H60" s="167">
        <v>1042</v>
      </c>
      <c r="I60" s="167">
        <v>707.3</v>
      </c>
      <c r="J60" s="167">
        <v>1127.8</v>
      </c>
      <c r="K60" s="167">
        <v>1430.5</v>
      </c>
      <c r="L60" s="167">
        <v>921.6</v>
      </c>
    </row>
    <row r="61" spans="2:12">
      <c r="B61" s="166"/>
      <c r="C61" s="157">
        <v>1999</v>
      </c>
      <c r="D61" s="169">
        <v>875.6</v>
      </c>
      <c r="E61" s="169">
        <v>1067</v>
      </c>
      <c r="F61" s="169">
        <v>734</v>
      </c>
      <c r="G61" s="169">
        <v>854.6</v>
      </c>
      <c r="H61" s="169">
        <v>1040</v>
      </c>
      <c r="I61" s="169">
        <v>716.6</v>
      </c>
      <c r="J61" s="169">
        <v>1135.7</v>
      </c>
      <c r="K61" s="169">
        <v>1432.6</v>
      </c>
      <c r="L61" s="169">
        <v>933.6</v>
      </c>
    </row>
    <row r="62" spans="2:12">
      <c r="B62" s="166"/>
      <c r="C62" s="8">
        <v>2000</v>
      </c>
      <c r="D62" s="170">
        <v>869</v>
      </c>
      <c r="E62" s="170">
        <v>1053.8</v>
      </c>
      <c r="F62" s="170">
        <v>731.4</v>
      </c>
      <c r="G62" s="170">
        <v>849.8</v>
      </c>
      <c r="H62" s="170">
        <v>1029.4000000000001</v>
      </c>
      <c r="I62" s="170">
        <v>715.3</v>
      </c>
      <c r="J62" s="170">
        <v>1121.4000000000001</v>
      </c>
      <c r="K62" s="170">
        <v>1403.5</v>
      </c>
      <c r="L62" s="170">
        <v>927.6</v>
      </c>
    </row>
    <row r="63" spans="2:12">
      <c r="B63" s="166"/>
      <c r="C63" s="8">
        <v>2001</v>
      </c>
      <c r="D63" s="170">
        <v>858.8</v>
      </c>
      <c r="E63" s="170">
        <v>1035.4000000000001</v>
      </c>
      <c r="F63" s="170">
        <v>725.6</v>
      </c>
      <c r="G63" s="170">
        <v>840.7</v>
      </c>
      <c r="H63" s="170">
        <v>1012.1</v>
      </c>
      <c r="I63" s="170">
        <v>710.4</v>
      </c>
      <c r="J63" s="170">
        <v>1106.2</v>
      </c>
      <c r="K63" s="170">
        <v>1380.5</v>
      </c>
      <c r="L63" s="170">
        <v>917.9</v>
      </c>
    </row>
    <row r="64" spans="2:12">
      <c r="B64" s="166"/>
      <c r="C64" s="8">
        <v>2002</v>
      </c>
      <c r="D64" s="170">
        <v>855.9</v>
      </c>
      <c r="E64" s="170">
        <v>1030.5999999999999</v>
      </c>
      <c r="F64" s="170">
        <v>723.6</v>
      </c>
      <c r="G64" s="170">
        <v>839</v>
      </c>
      <c r="H64" s="170">
        <v>1009</v>
      </c>
      <c r="I64" s="170">
        <v>709.3</v>
      </c>
      <c r="J64" s="170">
        <v>1097.3</v>
      </c>
      <c r="K64" s="170">
        <v>1364.8</v>
      </c>
      <c r="L64" s="170">
        <v>913.5</v>
      </c>
    </row>
    <row r="65" spans="2:12">
      <c r="B65" s="166"/>
      <c r="C65" s="8">
        <v>2003</v>
      </c>
      <c r="D65" s="170">
        <v>843.5</v>
      </c>
      <c r="E65" s="170">
        <v>1010.3</v>
      </c>
      <c r="F65" s="170">
        <v>715.2</v>
      </c>
      <c r="G65" s="170">
        <v>827.1</v>
      </c>
      <c r="H65" s="170">
        <v>988.8</v>
      </c>
      <c r="I65" s="170">
        <v>701.6</v>
      </c>
      <c r="J65" s="170">
        <v>1080.5</v>
      </c>
      <c r="K65" s="170">
        <v>1343.5</v>
      </c>
      <c r="L65" s="170">
        <v>898.3</v>
      </c>
    </row>
    <row r="66" spans="2:12">
      <c r="B66" s="166"/>
      <c r="C66" s="8">
        <v>2004</v>
      </c>
      <c r="D66" s="170">
        <v>813.7</v>
      </c>
      <c r="E66" s="127">
        <v>973.3</v>
      </c>
      <c r="F66" s="127">
        <v>690.5</v>
      </c>
      <c r="G66" s="127">
        <v>798.5</v>
      </c>
      <c r="H66" s="127">
        <v>953.2</v>
      </c>
      <c r="I66" s="127">
        <v>677.7</v>
      </c>
      <c r="J66" s="127">
        <v>1043.8</v>
      </c>
      <c r="K66" s="127">
        <v>1296.8</v>
      </c>
      <c r="L66" s="127">
        <v>869.8</v>
      </c>
    </row>
    <row r="67" spans="2:12">
      <c r="B67" s="166"/>
      <c r="C67" s="8">
        <v>2005</v>
      </c>
      <c r="D67" s="170">
        <v>815</v>
      </c>
      <c r="E67" s="127">
        <v>971.9</v>
      </c>
      <c r="F67" s="127">
        <v>692.3</v>
      </c>
      <c r="G67" s="127">
        <v>801.1</v>
      </c>
      <c r="H67" s="127">
        <v>952.9</v>
      </c>
      <c r="I67" s="127">
        <v>680.9</v>
      </c>
      <c r="J67" s="127">
        <v>1035.0999999999999</v>
      </c>
      <c r="K67" s="127">
        <v>1281.3</v>
      </c>
      <c r="L67" s="127">
        <v>862.7</v>
      </c>
    </row>
    <row r="68" spans="2:12">
      <c r="B68" s="166"/>
      <c r="C68" s="8">
        <v>2006</v>
      </c>
      <c r="D68" s="170">
        <v>791.8</v>
      </c>
      <c r="E68" s="127">
        <v>943.5</v>
      </c>
      <c r="F68" s="127">
        <v>672.2</v>
      </c>
      <c r="G68" s="127">
        <v>779.3</v>
      </c>
      <c r="H68" s="127">
        <v>925.8</v>
      </c>
      <c r="I68" s="127">
        <v>662.3</v>
      </c>
      <c r="J68" s="127">
        <v>997.9</v>
      </c>
      <c r="K68" s="127">
        <v>1239.5</v>
      </c>
      <c r="L68" s="127">
        <v>828.4</v>
      </c>
    </row>
    <row r="69" spans="2:12">
      <c r="B69" s="166"/>
      <c r="C69" s="8">
        <v>2007</v>
      </c>
      <c r="D69" s="170">
        <v>775.3</v>
      </c>
      <c r="E69" s="127">
        <v>922.9</v>
      </c>
      <c r="F69" s="127">
        <v>658.1</v>
      </c>
      <c r="G69" s="127">
        <v>764.3</v>
      </c>
      <c r="H69" s="127">
        <v>907.1</v>
      </c>
      <c r="I69" s="127">
        <v>649.4</v>
      </c>
      <c r="J69" s="127">
        <v>972</v>
      </c>
      <c r="K69" s="127">
        <v>1204.8</v>
      </c>
      <c r="L69" s="127">
        <v>808.1</v>
      </c>
    </row>
    <row r="70" spans="2:12">
      <c r="B70" s="166"/>
      <c r="C70" s="8">
        <v>2008</v>
      </c>
      <c r="D70" s="170">
        <v>774.9</v>
      </c>
      <c r="E70" s="127">
        <v>918.8</v>
      </c>
      <c r="F70" s="127">
        <v>659.9</v>
      </c>
      <c r="G70" s="127">
        <v>767.2</v>
      </c>
      <c r="H70" s="127">
        <v>907.1</v>
      </c>
      <c r="I70" s="127">
        <v>653.70000000000005</v>
      </c>
      <c r="J70" s="127">
        <v>947.7</v>
      </c>
      <c r="K70" s="127">
        <v>1168</v>
      </c>
      <c r="L70" s="127">
        <v>792</v>
      </c>
    </row>
    <row r="71" spans="2:12">
      <c r="B71" s="166"/>
      <c r="C71" s="8">
        <v>2009</v>
      </c>
      <c r="D71" s="170">
        <v>749.6</v>
      </c>
      <c r="E71" s="127">
        <v>890.9</v>
      </c>
      <c r="F71" s="127">
        <v>636.79999999999995</v>
      </c>
      <c r="G71" s="127">
        <v>742.8</v>
      </c>
      <c r="H71" s="127">
        <v>880.5</v>
      </c>
      <c r="I71" s="127">
        <v>631.29999999999995</v>
      </c>
      <c r="J71" s="127">
        <v>912.8</v>
      </c>
      <c r="K71" s="127">
        <v>1123.0999999999999</v>
      </c>
      <c r="L71" s="127">
        <v>763.3</v>
      </c>
    </row>
    <row r="72" spans="2:12">
      <c r="B72" s="166"/>
      <c r="C72" s="8">
        <v>2010</v>
      </c>
      <c r="D72" s="170">
        <v>747</v>
      </c>
      <c r="E72" s="127">
        <v>887.1</v>
      </c>
      <c r="F72" s="127">
        <v>634.9</v>
      </c>
      <c r="G72" s="127">
        <v>741.8</v>
      </c>
      <c r="H72" s="127">
        <v>878.5</v>
      </c>
      <c r="I72" s="127">
        <v>630.79999999999995</v>
      </c>
      <c r="J72" s="127">
        <v>898.2</v>
      </c>
      <c r="K72" s="127">
        <v>1104</v>
      </c>
      <c r="L72" s="127">
        <v>752.5</v>
      </c>
    </row>
    <row r="73" spans="2:12">
      <c r="B73" s="166"/>
      <c r="C73" s="8">
        <v>2011</v>
      </c>
      <c r="D73" s="170">
        <v>741.3</v>
      </c>
      <c r="E73" s="127">
        <v>875.3</v>
      </c>
      <c r="F73" s="127">
        <v>632.4</v>
      </c>
      <c r="G73" s="127">
        <v>738.8</v>
      </c>
      <c r="H73" s="127">
        <v>870.2</v>
      </c>
      <c r="I73" s="127">
        <v>630.29999999999995</v>
      </c>
      <c r="J73" s="127">
        <v>877.1</v>
      </c>
      <c r="K73" s="127">
        <v>1067.0999999999999</v>
      </c>
      <c r="L73" s="127">
        <v>739.8</v>
      </c>
    </row>
    <row r="74" spans="2:12">
      <c r="B74" s="166"/>
      <c r="C74" s="8">
        <v>2012</v>
      </c>
      <c r="D74" s="170">
        <v>732.8</v>
      </c>
      <c r="E74" s="127">
        <v>865.1</v>
      </c>
      <c r="F74" s="127">
        <v>624.70000000000005</v>
      </c>
      <c r="G74" s="127">
        <v>730.9</v>
      </c>
      <c r="H74" s="127">
        <v>860</v>
      </c>
      <c r="I74" s="127">
        <v>623.79999999999995</v>
      </c>
      <c r="J74" s="127">
        <v>864.8</v>
      </c>
      <c r="K74" s="127">
        <v>1058.5999999999999</v>
      </c>
      <c r="L74" s="127">
        <v>723.9</v>
      </c>
    </row>
    <row r="75" spans="2:12">
      <c r="B75" s="171"/>
      <c r="C75" s="6"/>
      <c r="D75" s="172"/>
      <c r="E75" s="172"/>
      <c r="F75" s="172"/>
      <c r="G75" s="172"/>
      <c r="H75" s="172"/>
      <c r="I75" s="172"/>
      <c r="J75" s="172"/>
      <c r="K75" s="172"/>
      <c r="L75" s="172"/>
    </row>
    <row r="76" spans="2:12" ht="27" customHeight="1">
      <c r="B76" s="347" t="s">
        <v>613</v>
      </c>
      <c r="C76" s="348"/>
      <c r="D76" s="348"/>
      <c r="E76" s="348"/>
      <c r="F76" s="348"/>
      <c r="G76" s="348"/>
      <c r="H76" s="348"/>
      <c r="I76" s="348"/>
      <c r="J76" s="348"/>
      <c r="K76" s="348"/>
      <c r="L76" s="348"/>
    </row>
    <row r="77" spans="2:12" ht="56.25" customHeight="1">
      <c r="B77" s="347" t="s">
        <v>60</v>
      </c>
      <c r="C77" s="348"/>
      <c r="D77" s="348"/>
      <c r="E77" s="348"/>
      <c r="F77" s="348"/>
      <c r="G77" s="348"/>
      <c r="H77" s="348"/>
      <c r="I77" s="348"/>
      <c r="J77" s="348"/>
      <c r="K77" s="348"/>
      <c r="L77" s="348"/>
    </row>
    <row r="78" spans="2:12" ht="75.75" customHeight="1">
      <c r="B78" s="347" t="s">
        <v>61</v>
      </c>
      <c r="C78" s="348"/>
      <c r="D78" s="348"/>
      <c r="E78" s="348"/>
      <c r="F78" s="348"/>
      <c r="G78" s="348"/>
      <c r="H78" s="348"/>
      <c r="I78" s="348"/>
      <c r="J78" s="348"/>
      <c r="K78" s="348"/>
      <c r="L78" s="348"/>
    </row>
    <row r="79" spans="2:12" ht="30.75" customHeight="1">
      <c r="B79" s="347" t="s">
        <v>62</v>
      </c>
      <c r="C79" s="348"/>
      <c r="D79" s="348"/>
      <c r="E79" s="348"/>
      <c r="F79" s="348"/>
      <c r="G79" s="348"/>
      <c r="H79" s="348"/>
      <c r="I79" s="348"/>
      <c r="J79" s="348"/>
      <c r="K79" s="348"/>
      <c r="L79" s="348"/>
    </row>
    <row r="80" spans="2:12">
      <c r="B80" s="173"/>
    </row>
    <row r="81" spans="2:12">
      <c r="B81" s="347"/>
      <c r="C81" s="348"/>
      <c r="D81" s="348"/>
      <c r="E81" s="348"/>
      <c r="F81" s="348"/>
      <c r="G81" s="348"/>
      <c r="H81" s="348"/>
      <c r="I81" s="348"/>
      <c r="J81" s="348"/>
      <c r="K81" s="348"/>
      <c r="L81" s="348"/>
    </row>
    <row r="82" spans="2:12">
      <c r="B82" s="173"/>
    </row>
    <row r="83" spans="2:12">
      <c r="B83" s="173"/>
    </row>
    <row r="84" spans="2:12">
      <c r="B84" s="173"/>
    </row>
    <row r="85" spans="2:12">
      <c r="B85" s="173"/>
    </row>
    <row r="86" spans="2:12">
      <c r="B86" s="173"/>
    </row>
    <row r="87" spans="2:12">
      <c r="B87" s="173"/>
    </row>
    <row r="88" spans="2:12">
      <c r="B88" s="173"/>
    </row>
    <row r="89" spans="2:12">
      <c r="B89" s="173"/>
    </row>
    <row r="90" spans="2:12">
      <c r="B90" s="173"/>
    </row>
    <row r="91" spans="2:12">
      <c r="B91" s="173"/>
    </row>
    <row r="92" spans="2:12">
      <c r="B92" s="173"/>
    </row>
    <row r="93" spans="2:12">
      <c r="B93" s="173"/>
    </row>
    <row r="94" spans="2:12">
      <c r="B94" s="173"/>
    </row>
    <row r="95" spans="2:12">
      <c r="B95" s="173"/>
    </row>
    <row r="96" spans="2:12">
      <c r="B96" s="173"/>
    </row>
  </sheetData>
  <mergeCells count="7">
    <mergeCell ref="B78:L78"/>
    <mergeCell ref="B79:L79"/>
    <mergeCell ref="B81:L81"/>
    <mergeCell ref="B5:B6"/>
    <mergeCell ref="C5:C6"/>
    <mergeCell ref="B76:L76"/>
    <mergeCell ref="B77:L77"/>
  </mergeCells>
  <phoneticPr fontId="1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1640625" style="2" customWidth="1"/>
    <col min="2" max="2" width="14.33203125" style="2" bestFit="1" customWidth="1"/>
    <col min="3" max="3" width="10.33203125" style="2" customWidth="1"/>
    <col min="4" max="5" width="11.1640625" style="2" bestFit="1" customWidth="1"/>
    <col min="6" max="6" width="9.33203125" style="2" customWidth="1"/>
    <col min="7" max="8" width="11.1640625" style="2" bestFit="1" customWidth="1"/>
    <col min="9" max="9" width="9.83203125" style="2" customWidth="1"/>
    <col min="10" max="11" width="11.1640625" style="2" bestFit="1" customWidth="1"/>
    <col min="12" max="12" width="10.83203125" style="2" customWidth="1"/>
    <col min="13" max="34" width="12.83203125" style="2"/>
    <col min="35" max="35" width="6.1640625" style="2" customWidth="1"/>
    <col min="36" max="16384" width="12.83203125" style="2"/>
  </cols>
  <sheetData>
    <row r="1" spans="1:12" ht="15.75">
      <c r="A1" s="1"/>
      <c r="B1" s="152"/>
    </row>
    <row r="2" spans="1:12">
      <c r="B2" s="3" t="s">
        <v>93</v>
      </c>
      <c r="C2" s="4"/>
      <c r="D2" s="4"/>
      <c r="E2" s="4"/>
      <c r="F2" s="4"/>
      <c r="G2" s="4"/>
      <c r="H2" s="4"/>
      <c r="I2" s="4"/>
      <c r="J2" s="4"/>
      <c r="K2" s="4"/>
      <c r="L2" s="4"/>
    </row>
    <row r="3" spans="1:12" ht="15.75">
      <c r="B3" s="5" t="s">
        <v>94</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435.4</v>
      </c>
      <c r="E7" s="174">
        <v>569.20000000000005</v>
      </c>
      <c r="F7" s="174">
        <v>338.2</v>
      </c>
      <c r="G7" s="174">
        <v>431.6</v>
      </c>
      <c r="H7" s="174">
        <v>567.9</v>
      </c>
      <c r="I7" s="174">
        <v>332.7</v>
      </c>
      <c r="J7" s="174">
        <v>467.6</v>
      </c>
      <c r="K7" s="174">
        <v>583.9</v>
      </c>
      <c r="L7" s="174">
        <v>383.3</v>
      </c>
    </row>
    <row r="8" spans="1:12">
      <c r="B8" s="11"/>
      <c r="C8" s="157" t="s">
        <v>252</v>
      </c>
      <c r="D8" s="160">
        <v>432.8</v>
      </c>
      <c r="E8" s="160">
        <v>571.6</v>
      </c>
      <c r="F8" s="160">
        <v>332.2</v>
      </c>
      <c r="G8" s="160">
        <v>428.6</v>
      </c>
      <c r="H8" s="160">
        <v>572.79999999999995</v>
      </c>
      <c r="I8" s="160">
        <v>324.8</v>
      </c>
      <c r="J8" s="160">
        <v>469.2</v>
      </c>
      <c r="K8" s="160">
        <v>563.5</v>
      </c>
      <c r="L8" s="160">
        <v>395.4</v>
      </c>
    </row>
    <row r="9" spans="1:12">
      <c r="B9" s="11"/>
      <c r="C9" s="157" t="s">
        <v>253</v>
      </c>
      <c r="D9" s="160">
        <v>425.6</v>
      </c>
      <c r="E9" s="160">
        <v>562.1</v>
      </c>
      <c r="F9" s="160">
        <v>329</v>
      </c>
      <c r="G9" s="160">
        <v>421.5</v>
      </c>
      <c r="H9" s="160">
        <v>562.70000000000005</v>
      </c>
      <c r="I9" s="160">
        <v>322</v>
      </c>
      <c r="J9" s="160">
        <v>459.8</v>
      </c>
      <c r="K9" s="160">
        <v>558.4</v>
      </c>
      <c r="L9" s="160">
        <v>386.2</v>
      </c>
    </row>
    <row r="10" spans="1:12">
      <c r="B10" s="11"/>
      <c r="C10" s="157" t="s">
        <v>254</v>
      </c>
      <c r="D10" s="160">
        <v>423</v>
      </c>
      <c r="E10" s="160">
        <v>543.20000000000005</v>
      </c>
      <c r="F10" s="160">
        <v>335.5</v>
      </c>
      <c r="G10" s="160">
        <v>418.4</v>
      </c>
      <c r="H10" s="160">
        <v>542.70000000000005</v>
      </c>
      <c r="I10" s="160">
        <v>328.1</v>
      </c>
      <c r="J10" s="160">
        <v>463.9</v>
      </c>
      <c r="K10" s="160">
        <v>553.20000000000005</v>
      </c>
      <c r="L10" s="160">
        <v>398.4</v>
      </c>
    </row>
    <row r="11" spans="1:12">
      <c r="B11" s="11"/>
      <c r="C11" s="157" t="s">
        <v>255</v>
      </c>
      <c r="D11" s="160">
        <v>413.4</v>
      </c>
      <c r="E11" s="160">
        <v>533.29999999999995</v>
      </c>
      <c r="F11" s="160">
        <v>328.6</v>
      </c>
      <c r="G11" s="160">
        <v>407.1</v>
      </c>
      <c r="H11" s="160">
        <v>530.20000000000005</v>
      </c>
      <c r="I11" s="160">
        <v>320.8</v>
      </c>
      <c r="J11" s="160">
        <v>470.3</v>
      </c>
      <c r="K11" s="160">
        <v>566.79999999999995</v>
      </c>
      <c r="L11" s="160">
        <v>396.3</v>
      </c>
    </row>
    <row r="12" spans="1:12" ht="15.75">
      <c r="B12" s="156"/>
      <c r="C12" s="157" t="s">
        <v>256</v>
      </c>
      <c r="D12" s="160">
        <v>414</v>
      </c>
      <c r="E12" s="160">
        <v>537.5</v>
      </c>
      <c r="F12" s="160">
        <v>326</v>
      </c>
      <c r="G12" s="160">
        <v>408.3</v>
      </c>
      <c r="H12" s="160">
        <v>534.1</v>
      </c>
      <c r="I12" s="160">
        <v>319.5</v>
      </c>
      <c r="J12" s="160">
        <v>466.7</v>
      </c>
      <c r="K12" s="160">
        <v>578.9</v>
      </c>
      <c r="L12" s="160">
        <v>382.2</v>
      </c>
    </row>
    <row r="13" spans="1:12">
      <c r="B13" s="11"/>
      <c r="C13" s="157" t="s">
        <v>257</v>
      </c>
      <c r="D13" s="160">
        <v>418.8</v>
      </c>
      <c r="E13" s="160">
        <v>531.9</v>
      </c>
      <c r="F13" s="160">
        <v>338.1</v>
      </c>
      <c r="G13" s="160">
        <v>411.3</v>
      </c>
      <c r="H13" s="160">
        <v>526.20000000000005</v>
      </c>
      <c r="I13" s="160">
        <v>329.8</v>
      </c>
      <c r="J13" s="160">
        <v>487.9</v>
      </c>
      <c r="K13" s="160">
        <v>592.70000000000005</v>
      </c>
      <c r="L13" s="160">
        <v>410.8</v>
      </c>
    </row>
    <row r="14" spans="1:12">
      <c r="B14" s="11"/>
      <c r="C14" s="157" t="s">
        <v>258</v>
      </c>
      <c r="D14" s="160">
        <v>400.8</v>
      </c>
      <c r="E14" s="160">
        <v>513.4</v>
      </c>
      <c r="F14" s="160">
        <v>321.10000000000002</v>
      </c>
      <c r="G14" s="160">
        <v>392.9</v>
      </c>
      <c r="H14" s="160">
        <v>506.8</v>
      </c>
      <c r="I14" s="160">
        <v>312.89999999999998</v>
      </c>
      <c r="J14" s="160">
        <v>472.1</v>
      </c>
      <c r="K14" s="160">
        <v>581</v>
      </c>
      <c r="L14" s="160">
        <v>390.5</v>
      </c>
    </row>
    <row r="15" spans="1:12" ht="15.75">
      <c r="B15" s="156" t="s">
        <v>52</v>
      </c>
      <c r="C15" s="157" t="s">
        <v>259</v>
      </c>
      <c r="D15" s="160">
        <v>390.9</v>
      </c>
      <c r="E15" s="160">
        <v>496.1</v>
      </c>
      <c r="F15" s="160">
        <v>316</v>
      </c>
      <c r="G15" s="160">
        <v>382.1</v>
      </c>
      <c r="H15" s="160">
        <v>490.8</v>
      </c>
      <c r="I15" s="160">
        <v>305.10000000000002</v>
      </c>
      <c r="J15" s="160">
        <v>470.6</v>
      </c>
      <c r="K15" s="160">
        <v>555.4</v>
      </c>
      <c r="L15" s="160">
        <v>407.3</v>
      </c>
    </row>
    <row r="16" spans="1:12">
      <c r="B16" s="11"/>
      <c r="C16" s="157" t="s">
        <v>260</v>
      </c>
      <c r="D16" s="160">
        <v>355.9</v>
      </c>
      <c r="E16" s="160">
        <v>452.6</v>
      </c>
      <c r="F16" s="160">
        <v>285.7</v>
      </c>
      <c r="G16" s="160">
        <v>344.9</v>
      </c>
      <c r="H16" s="160">
        <v>442.1</v>
      </c>
      <c r="I16" s="160">
        <v>274.5</v>
      </c>
      <c r="J16" s="160">
        <v>443.1</v>
      </c>
      <c r="K16" s="160">
        <v>541.6</v>
      </c>
      <c r="L16" s="160">
        <v>371.2</v>
      </c>
    </row>
    <row r="17" spans="2:12">
      <c r="B17" s="11"/>
      <c r="C17" s="157" t="s">
        <v>167</v>
      </c>
      <c r="D17" s="160">
        <v>344.7</v>
      </c>
      <c r="E17" s="160">
        <v>435.9</v>
      </c>
      <c r="F17" s="160">
        <v>278.89999999999998</v>
      </c>
      <c r="G17" s="160">
        <v>334</v>
      </c>
      <c r="H17" s="160">
        <v>425.1</v>
      </c>
      <c r="I17" s="160">
        <v>268.39999999999998</v>
      </c>
      <c r="J17" s="160">
        <v>431.5</v>
      </c>
      <c r="K17" s="160">
        <v>531.9</v>
      </c>
      <c r="L17" s="160">
        <v>358.8</v>
      </c>
    </row>
    <row r="18" spans="2:12">
      <c r="B18" s="11"/>
      <c r="C18" s="157" t="s">
        <v>168</v>
      </c>
      <c r="D18" s="160">
        <v>336.4</v>
      </c>
      <c r="E18" s="160">
        <v>424.5</v>
      </c>
      <c r="F18" s="160">
        <v>272.5</v>
      </c>
      <c r="G18" s="160">
        <v>327</v>
      </c>
      <c r="H18" s="160">
        <v>415.5</v>
      </c>
      <c r="I18" s="160">
        <v>263.10000000000002</v>
      </c>
      <c r="J18" s="160">
        <v>410.4</v>
      </c>
      <c r="K18" s="160">
        <v>501.4</v>
      </c>
      <c r="L18" s="160">
        <v>344</v>
      </c>
    </row>
    <row r="19" spans="2:12">
      <c r="B19" s="11"/>
      <c r="C19" s="157" t="s">
        <v>169</v>
      </c>
      <c r="D19" s="160">
        <v>320.8</v>
      </c>
      <c r="E19" s="160">
        <v>409.7</v>
      </c>
      <c r="F19" s="160">
        <v>258.5</v>
      </c>
      <c r="G19" s="160">
        <v>310.8</v>
      </c>
      <c r="H19" s="160">
        <v>399.9</v>
      </c>
      <c r="I19" s="160">
        <v>248.5</v>
      </c>
      <c r="J19" s="160">
        <v>397.8</v>
      </c>
      <c r="K19" s="160">
        <v>489</v>
      </c>
      <c r="L19" s="160">
        <v>333.2</v>
      </c>
    </row>
    <row r="20" spans="2:12">
      <c r="B20" s="11"/>
      <c r="C20" s="157" t="s">
        <v>170</v>
      </c>
      <c r="D20" s="160">
        <v>333.9</v>
      </c>
      <c r="E20" s="160">
        <v>422.5</v>
      </c>
      <c r="F20" s="160">
        <v>270.60000000000002</v>
      </c>
      <c r="G20" s="160">
        <v>321.8</v>
      </c>
      <c r="H20" s="160">
        <v>411.6</v>
      </c>
      <c r="I20" s="160">
        <v>257.89999999999998</v>
      </c>
      <c r="J20" s="160">
        <v>428.5</v>
      </c>
      <c r="K20" s="160">
        <v>515.70000000000005</v>
      </c>
      <c r="L20" s="160">
        <v>365</v>
      </c>
    </row>
    <row r="21" spans="2:12">
      <c r="B21" s="11"/>
      <c r="C21" s="157">
        <v>1994</v>
      </c>
      <c r="D21" s="160">
        <v>324.7</v>
      </c>
      <c r="E21" s="160">
        <v>409.9</v>
      </c>
      <c r="F21" s="160">
        <v>263.39999999999998</v>
      </c>
      <c r="G21" s="160">
        <v>312.89999999999998</v>
      </c>
      <c r="H21" s="160">
        <v>396.3</v>
      </c>
      <c r="I21" s="160">
        <v>252.7</v>
      </c>
      <c r="J21" s="160">
        <v>416.5</v>
      </c>
      <c r="K21" s="160">
        <v>522.79999999999995</v>
      </c>
      <c r="L21" s="160">
        <v>342.8</v>
      </c>
    </row>
    <row r="22" spans="2:12" s="14" customFormat="1">
      <c r="B22" s="11"/>
      <c r="C22" s="157">
        <v>1995</v>
      </c>
      <c r="D22" s="160">
        <v>317.2</v>
      </c>
      <c r="E22" s="160">
        <v>399.1</v>
      </c>
      <c r="F22" s="160">
        <v>257.8</v>
      </c>
      <c r="G22" s="160">
        <v>304.8</v>
      </c>
      <c r="H22" s="160">
        <v>386.5</v>
      </c>
      <c r="I22" s="160">
        <v>246</v>
      </c>
      <c r="J22" s="160">
        <v>416.5</v>
      </c>
      <c r="K22" s="160">
        <v>507.1</v>
      </c>
      <c r="L22" s="160">
        <v>349.7</v>
      </c>
    </row>
    <row r="23" spans="2:12">
      <c r="B23" s="11"/>
      <c r="C23" s="157">
        <v>1996</v>
      </c>
      <c r="D23" s="160">
        <v>310.89999999999998</v>
      </c>
      <c r="E23" s="160">
        <v>390</v>
      </c>
      <c r="F23" s="160">
        <v>253.3</v>
      </c>
      <c r="G23" s="160">
        <v>300.60000000000002</v>
      </c>
      <c r="H23" s="160">
        <v>379.5</v>
      </c>
      <c r="I23" s="160">
        <v>243.2</v>
      </c>
      <c r="J23" s="160">
        <v>387.3</v>
      </c>
      <c r="K23" s="160">
        <v>476.3</v>
      </c>
      <c r="L23" s="160">
        <v>322.60000000000002</v>
      </c>
    </row>
    <row r="24" spans="2:12">
      <c r="B24" s="11"/>
      <c r="C24" s="157">
        <v>1997</v>
      </c>
      <c r="D24" s="160">
        <v>296.60000000000002</v>
      </c>
      <c r="E24" s="160">
        <v>367.2</v>
      </c>
      <c r="F24" s="160">
        <v>244.4</v>
      </c>
      <c r="G24" s="160">
        <v>286.60000000000002</v>
      </c>
      <c r="H24" s="160">
        <v>356.4</v>
      </c>
      <c r="I24" s="160">
        <v>234.7</v>
      </c>
      <c r="J24" s="160">
        <v>377</v>
      </c>
      <c r="K24" s="160">
        <v>458.1</v>
      </c>
      <c r="L24" s="160">
        <v>319.39999999999998</v>
      </c>
    </row>
    <row r="25" spans="2:12">
      <c r="B25" s="11"/>
      <c r="C25" s="157">
        <v>1998</v>
      </c>
      <c r="D25" s="160">
        <v>299</v>
      </c>
      <c r="E25" s="160">
        <v>371.5</v>
      </c>
      <c r="F25" s="160">
        <v>245.5</v>
      </c>
      <c r="G25" s="160">
        <v>290.10000000000002</v>
      </c>
      <c r="H25" s="160">
        <v>362.4</v>
      </c>
      <c r="I25" s="160">
        <v>236.2</v>
      </c>
      <c r="J25" s="160">
        <v>369.1</v>
      </c>
      <c r="K25" s="160">
        <v>450</v>
      </c>
      <c r="L25" s="160">
        <v>311.7</v>
      </c>
    </row>
    <row r="26" spans="2:12">
      <c r="B26" s="11"/>
      <c r="C26" s="157">
        <v>1999</v>
      </c>
      <c r="D26" s="160">
        <v>291.3</v>
      </c>
      <c r="E26" s="160">
        <v>362.4</v>
      </c>
      <c r="F26" s="160">
        <v>238.6</v>
      </c>
      <c r="G26" s="160">
        <v>280.3</v>
      </c>
      <c r="H26" s="160">
        <v>350.3</v>
      </c>
      <c r="I26" s="160">
        <v>228.4</v>
      </c>
      <c r="J26" s="160">
        <v>381.5</v>
      </c>
      <c r="K26" s="160">
        <v>470</v>
      </c>
      <c r="L26" s="160">
        <v>317.3</v>
      </c>
    </row>
    <row r="27" spans="2:12">
      <c r="B27" s="11"/>
      <c r="C27" s="157">
        <v>2000</v>
      </c>
      <c r="D27" s="160">
        <v>286.2</v>
      </c>
      <c r="E27" s="160">
        <v>348.7</v>
      </c>
      <c r="F27" s="160">
        <v>239</v>
      </c>
      <c r="G27" s="160">
        <v>276.5</v>
      </c>
      <c r="H27" s="160">
        <v>339.5</v>
      </c>
      <c r="I27" s="160">
        <v>229</v>
      </c>
      <c r="J27" s="160">
        <v>367.3</v>
      </c>
      <c r="K27" s="160">
        <v>428.8</v>
      </c>
      <c r="L27" s="160">
        <v>320.5</v>
      </c>
    </row>
    <row r="28" spans="2:12">
      <c r="B28" s="11"/>
      <c r="C28" s="8">
        <v>2001</v>
      </c>
      <c r="D28" s="160">
        <v>275.10000000000002</v>
      </c>
      <c r="E28" s="160">
        <v>338.2</v>
      </c>
      <c r="F28" s="160">
        <v>227.9</v>
      </c>
      <c r="G28" s="160">
        <v>263.2</v>
      </c>
      <c r="H28" s="160">
        <v>326.3</v>
      </c>
      <c r="I28" s="160">
        <v>215.9</v>
      </c>
      <c r="J28" s="160">
        <v>373.8</v>
      </c>
      <c r="K28" s="160">
        <v>447.8</v>
      </c>
      <c r="L28" s="160">
        <v>319.8</v>
      </c>
    </row>
    <row r="29" spans="2:12">
      <c r="B29" s="11"/>
      <c r="C29" s="157">
        <v>2002</v>
      </c>
      <c r="D29" s="159">
        <v>267.39999999999998</v>
      </c>
      <c r="E29" s="159">
        <v>328.8</v>
      </c>
      <c r="F29" s="159">
        <v>222</v>
      </c>
      <c r="G29" s="159">
        <v>255.1</v>
      </c>
      <c r="H29" s="159">
        <v>316.7</v>
      </c>
      <c r="I29" s="159">
        <v>209.7</v>
      </c>
      <c r="J29" s="159">
        <v>373.7</v>
      </c>
      <c r="K29" s="159">
        <v>440.8</v>
      </c>
      <c r="L29" s="159">
        <v>322.2</v>
      </c>
    </row>
    <row r="30" spans="2:12">
      <c r="B30" s="11"/>
      <c r="C30" s="157">
        <v>2003</v>
      </c>
      <c r="D30" s="159">
        <v>256.39999999999998</v>
      </c>
      <c r="E30" s="159">
        <v>315.39999999999998</v>
      </c>
      <c r="F30" s="159">
        <v>212.4</v>
      </c>
      <c r="G30" s="159">
        <v>244.1</v>
      </c>
      <c r="H30" s="159">
        <v>302.89999999999998</v>
      </c>
      <c r="I30" s="159">
        <v>200.2</v>
      </c>
      <c r="J30" s="159">
        <v>360.5</v>
      </c>
      <c r="K30" s="159">
        <v>431.4</v>
      </c>
      <c r="L30" s="159">
        <v>308.89999999999998</v>
      </c>
    </row>
    <row r="31" spans="2:12">
      <c r="B31" s="11"/>
      <c r="C31" s="157">
        <v>2004</v>
      </c>
      <c r="D31" s="159">
        <v>242.5</v>
      </c>
      <c r="E31" s="159">
        <v>298.7</v>
      </c>
      <c r="F31" s="159">
        <v>200.1</v>
      </c>
      <c r="G31" s="159">
        <v>229.7</v>
      </c>
      <c r="H31" s="159">
        <v>285.2</v>
      </c>
      <c r="I31" s="159">
        <v>187.4</v>
      </c>
      <c r="J31" s="159">
        <v>343.7</v>
      </c>
      <c r="K31" s="159">
        <v>412.8</v>
      </c>
      <c r="L31" s="159">
        <v>295.3</v>
      </c>
    </row>
    <row r="32" spans="2:12">
      <c r="B32" s="11"/>
      <c r="C32" s="157">
        <v>2005</v>
      </c>
      <c r="D32" s="159">
        <v>241</v>
      </c>
      <c r="E32" s="159">
        <v>294.89999999999998</v>
      </c>
      <c r="F32" s="159">
        <v>199.4</v>
      </c>
      <c r="G32" s="159">
        <v>228.4</v>
      </c>
      <c r="H32" s="159">
        <v>280</v>
      </c>
      <c r="I32" s="159">
        <v>188.2</v>
      </c>
      <c r="J32" s="159">
        <v>335.5</v>
      </c>
      <c r="K32" s="159">
        <v>413.5</v>
      </c>
      <c r="L32" s="159">
        <v>279.8</v>
      </c>
    </row>
    <row r="33" spans="2:12">
      <c r="B33" s="11"/>
      <c r="C33" s="157">
        <v>2006</v>
      </c>
      <c r="D33" s="159">
        <v>227.8</v>
      </c>
      <c r="E33" s="159">
        <v>280.10000000000002</v>
      </c>
      <c r="F33" s="159">
        <v>187.8</v>
      </c>
      <c r="G33" s="159">
        <v>215.2</v>
      </c>
      <c r="H33" s="159">
        <v>265.3</v>
      </c>
      <c r="I33" s="159">
        <v>176.4</v>
      </c>
      <c r="J33" s="159">
        <v>320.7</v>
      </c>
      <c r="K33" s="159">
        <v>398.3</v>
      </c>
      <c r="L33" s="159">
        <v>265.8</v>
      </c>
    </row>
    <row r="34" spans="2:12">
      <c r="B34" s="11"/>
      <c r="C34" s="157">
        <v>2007</v>
      </c>
      <c r="D34" s="159">
        <v>223.5</v>
      </c>
      <c r="E34" s="159">
        <v>278.2</v>
      </c>
      <c r="F34" s="159">
        <v>181.2</v>
      </c>
      <c r="G34" s="159">
        <v>210.8</v>
      </c>
      <c r="H34" s="159">
        <v>262.89999999999998</v>
      </c>
      <c r="I34" s="159">
        <v>170.2</v>
      </c>
      <c r="J34" s="159">
        <v>314.3</v>
      </c>
      <c r="K34" s="159">
        <v>400.2</v>
      </c>
      <c r="L34" s="159">
        <v>254.3</v>
      </c>
    </row>
    <row r="35" spans="2:12">
      <c r="B35" s="11"/>
      <c r="C35" s="157">
        <v>2008</v>
      </c>
      <c r="D35" s="159">
        <v>220.7</v>
      </c>
      <c r="E35" s="159">
        <v>269.89999999999998</v>
      </c>
      <c r="F35" s="159">
        <v>182.1</v>
      </c>
      <c r="G35" s="159">
        <v>208.9</v>
      </c>
      <c r="H35" s="159">
        <v>256.7</v>
      </c>
      <c r="I35" s="159">
        <v>171.1</v>
      </c>
      <c r="J35" s="159">
        <v>311.60000000000002</v>
      </c>
      <c r="K35" s="159">
        <v>380.1</v>
      </c>
      <c r="L35" s="159">
        <v>261.2</v>
      </c>
    </row>
    <row r="36" spans="2:12">
      <c r="B36" s="11"/>
      <c r="C36" s="157">
        <v>2009</v>
      </c>
      <c r="D36" s="159">
        <v>205</v>
      </c>
      <c r="E36" s="159">
        <v>257.39999999999998</v>
      </c>
      <c r="F36" s="159">
        <v>164.6</v>
      </c>
      <c r="G36" s="159">
        <v>194</v>
      </c>
      <c r="H36" s="159">
        <v>245.1</v>
      </c>
      <c r="I36" s="159">
        <v>154.4</v>
      </c>
      <c r="J36" s="159">
        <v>287.39999999999998</v>
      </c>
      <c r="K36" s="159">
        <v>357.9</v>
      </c>
      <c r="L36" s="159">
        <v>236</v>
      </c>
    </row>
    <row r="37" spans="2:12">
      <c r="B37" s="11"/>
      <c r="C37" s="157">
        <v>2010</v>
      </c>
      <c r="D37" s="159">
        <v>203.4</v>
      </c>
      <c r="E37" s="159">
        <v>251.7</v>
      </c>
      <c r="F37" s="159">
        <v>165.3</v>
      </c>
      <c r="G37" s="159">
        <v>194.2</v>
      </c>
      <c r="H37" s="159">
        <v>242</v>
      </c>
      <c r="I37" s="159">
        <v>156.30000000000001</v>
      </c>
      <c r="J37" s="159">
        <v>273.8</v>
      </c>
      <c r="K37" s="159">
        <v>331.4</v>
      </c>
      <c r="L37" s="159">
        <v>230.4</v>
      </c>
    </row>
    <row r="38" spans="2:12">
      <c r="B38" s="11"/>
      <c r="C38" s="157">
        <v>2011</v>
      </c>
      <c r="D38" s="159">
        <v>201.6</v>
      </c>
      <c r="E38" s="159">
        <v>250.9</v>
      </c>
      <c r="F38" s="159">
        <v>163</v>
      </c>
      <c r="G38" s="159">
        <v>191.9</v>
      </c>
      <c r="H38" s="159">
        <v>239.2</v>
      </c>
      <c r="I38" s="159">
        <v>154.6</v>
      </c>
      <c r="J38" s="159">
        <v>277.5</v>
      </c>
      <c r="K38" s="159">
        <v>352.6</v>
      </c>
      <c r="L38" s="159">
        <v>223.1</v>
      </c>
    </row>
    <row r="39" spans="2:12">
      <c r="B39" s="11"/>
      <c r="C39" s="157">
        <v>2012</v>
      </c>
      <c r="D39" s="159">
        <v>197.9</v>
      </c>
      <c r="E39" s="159">
        <v>245.4</v>
      </c>
      <c r="F39" s="159">
        <v>159.80000000000001</v>
      </c>
      <c r="G39" s="159">
        <v>187.1</v>
      </c>
      <c r="H39" s="159">
        <v>232.5</v>
      </c>
      <c r="I39" s="159">
        <v>150.5</v>
      </c>
      <c r="J39" s="159">
        <v>282</v>
      </c>
      <c r="K39" s="159">
        <v>354.8</v>
      </c>
      <c r="L39" s="159">
        <v>228.6</v>
      </c>
    </row>
    <row r="40" spans="2:12">
      <c r="B40" s="11"/>
      <c r="C40" s="157">
        <v>2013</v>
      </c>
      <c r="D40" s="159">
        <v>199.7</v>
      </c>
      <c r="E40" s="159">
        <v>249</v>
      </c>
      <c r="F40" s="159">
        <v>160</v>
      </c>
      <c r="G40" s="159">
        <v>190.1</v>
      </c>
      <c r="H40" s="159">
        <v>238</v>
      </c>
      <c r="I40" s="159">
        <v>151</v>
      </c>
      <c r="J40" s="159">
        <v>273.8</v>
      </c>
      <c r="K40" s="159">
        <v>345.8</v>
      </c>
      <c r="L40" s="159">
        <v>222.2</v>
      </c>
    </row>
    <row r="41" spans="2:12">
      <c r="B41" s="11"/>
      <c r="C41" s="157"/>
      <c r="D41" s="159"/>
      <c r="E41" s="159"/>
      <c r="F41" s="159"/>
      <c r="G41" s="159"/>
      <c r="H41" s="159"/>
      <c r="I41" s="159"/>
      <c r="J41" s="159"/>
      <c r="K41" s="159"/>
      <c r="L41" s="159"/>
    </row>
    <row r="42" spans="2:12">
      <c r="B42" s="64"/>
      <c r="C42" s="163" t="s">
        <v>166</v>
      </c>
      <c r="D42" s="164">
        <v>412.1</v>
      </c>
      <c r="E42" s="164">
        <v>538.9</v>
      </c>
      <c r="F42" s="164">
        <v>320.8</v>
      </c>
      <c r="G42" s="164">
        <v>409.4</v>
      </c>
      <c r="H42" s="164">
        <v>539.6</v>
      </c>
      <c r="I42" s="164">
        <v>315.89999999999998</v>
      </c>
      <c r="J42" s="176">
        <v>455.3</v>
      </c>
      <c r="K42" s="177">
        <v>561.4</v>
      </c>
      <c r="L42" s="177">
        <v>378.6</v>
      </c>
    </row>
    <row r="43" spans="2:12">
      <c r="B43" s="11"/>
      <c r="C43" s="157" t="s">
        <v>252</v>
      </c>
      <c r="D43" s="48">
        <v>397</v>
      </c>
      <c r="E43" s="48">
        <v>520.9</v>
      </c>
      <c r="F43" s="48">
        <v>308.10000000000002</v>
      </c>
      <c r="G43" s="48">
        <v>395.1</v>
      </c>
      <c r="H43" s="48">
        <v>522.79999999999995</v>
      </c>
      <c r="I43" s="48">
        <v>303.8</v>
      </c>
      <c r="J43" s="178">
        <v>434.7</v>
      </c>
      <c r="K43" s="167">
        <v>536.1</v>
      </c>
      <c r="L43" s="167">
        <v>360.2</v>
      </c>
    </row>
    <row r="44" spans="2:12">
      <c r="B44" s="11"/>
      <c r="C44" s="157" t="s">
        <v>253</v>
      </c>
      <c r="D44" s="48">
        <v>389</v>
      </c>
      <c r="E44" s="48">
        <v>509.6</v>
      </c>
      <c r="F44" s="48">
        <v>302.8</v>
      </c>
      <c r="G44" s="48">
        <v>387.4</v>
      </c>
      <c r="H44" s="48">
        <v>511.6</v>
      </c>
      <c r="I44" s="48">
        <v>298.8</v>
      </c>
      <c r="J44" s="178">
        <v>423.7</v>
      </c>
      <c r="K44" s="167">
        <v>524.70000000000005</v>
      </c>
      <c r="L44" s="167">
        <v>351.3</v>
      </c>
    </row>
    <row r="45" spans="2:12">
      <c r="B45" s="11"/>
      <c r="C45" s="157" t="s">
        <v>254</v>
      </c>
      <c r="D45" s="48">
        <v>388.9</v>
      </c>
      <c r="E45" s="48">
        <v>507.9</v>
      </c>
      <c r="F45" s="48">
        <v>304.10000000000002</v>
      </c>
      <c r="G45" s="48">
        <v>386.1</v>
      </c>
      <c r="H45" s="48">
        <v>508.7</v>
      </c>
      <c r="I45" s="48">
        <v>299</v>
      </c>
      <c r="J45" s="178">
        <v>435.6</v>
      </c>
      <c r="K45" s="167">
        <v>536.20000000000005</v>
      </c>
      <c r="L45" s="167">
        <v>363.3</v>
      </c>
    </row>
    <row r="46" spans="2:12">
      <c r="B46" s="11"/>
      <c r="C46" s="157" t="s">
        <v>255</v>
      </c>
      <c r="D46" s="48">
        <v>378.8</v>
      </c>
      <c r="E46" s="48">
        <v>493.5</v>
      </c>
      <c r="F46" s="48">
        <v>297.2</v>
      </c>
      <c r="G46" s="48">
        <v>376</v>
      </c>
      <c r="H46" s="48">
        <v>494.1</v>
      </c>
      <c r="I46" s="48">
        <v>292.2</v>
      </c>
      <c r="J46" s="178">
        <v>426.4</v>
      </c>
      <c r="K46" s="167">
        <v>526.79999999999995</v>
      </c>
      <c r="L46" s="167">
        <v>355.3</v>
      </c>
    </row>
    <row r="47" spans="2:12" ht="15.75">
      <c r="B47" s="156"/>
      <c r="C47" s="157" t="s">
        <v>256</v>
      </c>
      <c r="D47" s="48">
        <v>375</v>
      </c>
      <c r="E47" s="48">
        <v>488</v>
      </c>
      <c r="F47" s="48">
        <v>294.5</v>
      </c>
      <c r="G47" s="48">
        <v>371.4</v>
      </c>
      <c r="H47" s="48">
        <v>487.3</v>
      </c>
      <c r="I47" s="48">
        <v>289.10000000000002</v>
      </c>
      <c r="J47" s="178">
        <v>430.6</v>
      </c>
      <c r="K47" s="167">
        <v>533.9</v>
      </c>
      <c r="L47" s="167">
        <v>357.7</v>
      </c>
    </row>
    <row r="48" spans="2:12" ht="15.75">
      <c r="B48" s="165"/>
      <c r="C48" s="157" t="s">
        <v>257</v>
      </c>
      <c r="D48" s="48">
        <v>365.1</v>
      </c>
      <c r="E48" s="48">
        <v>470.7</v>
      </c>
      <c r="F48" s="48">
        <v>289.3</v>
      </c>
      <c r="G48" s="48">
        <v>360.9</v>
      </c>
      <c r="H48" s="48">
        <v>468.8</v>
      </c>
      <c r="I48" s="48">
        <v>283.39999999999998</v>
      </c>
      <c r="J48" s="178">
        <v>430.1</v>
      </c>
      <c r="K48" s="167">
        <v>530.79999999999995</v>
      </c>
      <c r="L48" s="167">
        <v>359.2</v>
      </c>
    </row>
    <row r="49" spans="2:12" ht="15.75">
      <c r="B49" s="156" t="s">
        <v>54</v>
      </c>
      <c r="C49" s="157" t="s">
        <v>258</v>
      </c>
      <c r="D49" s="48">
        <v>355.9</v>
      </c>
      <c r="E49" s="48">
        <v>456.9</v>
      </c>
      <c r="F49" s="48">
        <v>283.39999999999998</v>
      </c>
      <c r="G49" s="48">
        <v>351.5</v>
      </c>
      <c r="H49" s="48">
        <v>454.4</v>
      </c>
      <c r="I49" s="48">
        <v>277.60000000000002</v>
      </c>
      <c r="J49" s="178">
        <v>422.5</v>
      </c>
      <c r="K49" s="167">
        <v>522.9</v>
      </c>
      <c r="L49" s="167">
        <v>352.3</v>
      </c>
    </row>
    <row r="50" spans="2:12" ht="15.75">
      <c r="B50" s="165" t="s">
        <v>55</v>
      </c>
      <c r="C50" s="157" t="s">
        <v>259</v>
      </c>
      <c r="D50" s="48">
        <v>352.5</v>
      </c>
      <c r="E50" s="48">
        <v>451.8</v>
      </c>
      <c r="F50" s="48">
        <v>281.5</v>
      </c>
      <c r="G50" s="48">
        <v>347.6</v>
      </c>
      <c r="H50" s="48">
        <v>448.7</v>
      </c>
      <c r="I50" s="48">
        <v>275.2</v>
      </c>
      <c r="J50" s="178">
        <v>424.9</v>
      </c>
      <c r="K50" s="167">
        <v>526.20000000000005</v>
      </c>
      <c r="L50" s="167">
        <v>354.8</v>
      </c>
    </row>
    <row r="51" spans="2:12">
      <c r="B51" s="11"/>
      <c r="C51" s="157" t="s">
        <v>260</v>
      </c>
      <c r="D51" s="48">
        <v>332</v>
      </c>
      <c r="E51" s="48">
        <v>424.4</v>
      </c>
      <c r="F51" s="48">
        <v>265.5</v>
      </c>
      <c r="G51" s="48">
        <v>326.60000000000002</v>
      </c>
      <c r="H51" s="48">
        <v>420.6</v>
      </c>
      <c r="I51" s="48">
        <v>258.89999999999998</v>
      </c>
      <c r="J51" s="167">
        <v>407.1</v>
      </c>
      <c r="K51" s="167">
        <v>502.3</v>
      </c>
      <c r="L51" s="167">
        <v>341.3</v>
      </c>
    </row>
    <row r="52" spans="2:12">
      <c r="B52" s="11"/>
      <c r="C52" s="157" t="s">
        <v>167</v>
      </c>
      <c r="D52" s="48">
        <v>321.8</v>
      </c>
      <c r="E52" s="48">
        <v>412.4</v>
      </c>
      <c r="F52" s="48">
        <v>257</v>
      </c>
      <c r="G52" s="48">
        <v>317</v>
      </c>
      <c r="H52" s="48">
        <v>409.2</v>
      </c>
      <c r="I52" s="48">
        <v>250.9</v>
      </c>
      <c r="J52" s="48">
        <v>391.5</v>
      </c>
      <c r="K52" s="48">
        <v>485.4</v>
      </c>
      <c r="L52" s="48">
        <v>327.5</v>
      </c>
    </row>
    <row r="53" spans="2:12">
      <c r="B53" s="11"/>
      <c r="C53" s="157" t="s">
        <v>168</v>
      </c>
      <c r="D53" s="48">
        <v>313.8</v>
      </c>
      <c r="E53" s="48">
        <v>400.7</v>
      </c>
      <c r="F53" s="48">
        <v>251.1</v>
      </c>
      <c r="G53" s="48">
        <v>308.8</v>
      </c>
      <c r="H53" s="48">
        <v>397.2</v>
      </c>
      <c r="I53" s="48">
        <v>245</v>
      </c>
      <c r="J53" s="48">
        <v>386.5</v>
      </c>
      <c r="K53" s="48">
        <v>477.5</v>
      </c>
      <c r="L53" s="48">
        <v>323.60000000000002</v>
      </c>
    </row>
    <row r="54" spans="2:12">
      <c r="B54" s="11"/>
      <c r="C54" s="157">
        <v>1992</v>
      </c>
      <c r="D54" s="48">
        <v>306.10000000000002</v>
      </c>
      <c r="E54" s="48">
        <v>389.9</v>
      </c>
      <c r="F54" s="48">
        <v>245.4</v>
      </c>
      <c r="G54" s="48">
        <v>301.10000000000002</v>
      </c>
      <c r="H54" s="48">
        <v>386.3</v>
      </c>
      <c r="I54" s="48">
        <v>239.1</v>
      </c>
      <c r="J54" s="48">
        <v>377.7</v>
      </c>
      <c r="K54" s="48">
        <v>465.2</v>
      </c>
      <c r="L54" s="48">
        <v>317.5</v>
      </c>
    </row>
    <row r="55" spans="2:12">
      <c r="B55" s="11"/>
      <c r="C55" s="158" t="s">
        <v>170</v>
      </c>
      <c r="D55" s="159">
        <v>309.89999999999998</v>
      </c>
      <c r="E55" s="159">
        <v>393.4</v>
      </c>
      <c r="F55" s="159">
        <v>249.4</v>
      </c>
      <c r="G55" s="159">
        <v>304.60000000000002</v>
      </c>
      <c r="H55" s="159">
        <v>389.3</v>
      </c>
      <c r="I55" s="159">
        <v>242.9</v>
      </c>
      <c r="J55" s="159">
        <v>384.3</v>
      </c>
      <c r="K55" s="159">
        <v>469.2</v>
      </c>
      <c r="L55" s="159">
        <v>325</v>
      </c>
    </row>
    <row r="56" spans="2:12">
      <c r="B56" s="166"/>
      <c r="C56" s="157">
        <v>1994</v>
      </c>
      <c r="D56" s="159">
        <v>299.7</v>
      </c>
      <c r="E56" s="167">
        <v>379.1</v>
      </c>
      <c r="F56" s="167">
        <v>241.6</v>
      </c>
      <c r="G56" s="167">
        <v>295</v>
      </c>
      <c r="H56" s="167">
        <v>375.6</v>
      </c>
      <c r="I56" s="167">
        <v>235.7</v>
      </c>
      <c r="J56" s="167">
        <v>366.1</v>
      </c>
      <c r="K56" s="167">
        <v>446.2</v>
      </c>
      <c r="L56" s="167">
        <v>310.10000000000002</v>
      </c>
    </row>
    <row r="57" spans="2:12" s="14" customFormat="1">
      <c r="B57" s="166"/>
      <c r="C57" s="158" t="s">
        <v>56</v>
      </c>
      <c r="D57" s="159">
        <v>296.3</v>
      </c>
      <c r="E57" s="168">
        <v>372.7</v>
      </c>
      <c r="F57" s="168">
        <v>239.7</v>
      </c>
      <c r="G57" s="168">
        <v>291.2</v>
      </c>
      <c r="H57" s="168">
        <v>368.4</v>
      </c>
      <c r="I57" s="168">
        <v>233.6</v>
      </c>
      <c r="J57" s="168">
        <v>367.2</v>
      </c>
      <c r="K57" s="168">
        <v>449.2</v>
      </c>
      <c r="L57" s="168">
        <v>309.3</v>
      </c>
    </row>
    <row r="58" spans="2:12">
      <c r="B58" s="166"/>
      <c r="C58" s="158" t="s">
        <v>57</v>
      </c>
      <c r="D58" s="159">
        <v>288.3</v>
      </c>
      <c r="E58" s="168">
        <v>360.7</v>
      </c>
      <c r="F58" s="168">
        <v>234.1</v>
      </c>
      <c r="G58" s="168">
        <v>284.2</v>
      </c>
      <c r="H58" s="168">
        <v>358.2</v>
      </c>
      <c r="I58" s="168">
        <v>228.6</v>
      </c>
      <c r="J58" s="168">
        <v>354</v>
      </c>
      <c r="K58" s="168">
        <v>426.3</v>
      </c>
      <c r="L58" s="168">
        <v>302.39999999999998</v>
      </c>
    </row>
    <row r="59" spans="2:12">
      <c r="B59" s="166"/>
      <c r="C59" s="158" t="s">
        <v>58</v>
      </c>
      <c r="D59" s="159">
        <v>280.39999999999998</v>
      </c>
      <c r="E59" s="168">
        <v>349.6</v>
      </c>
      <c r="F59" s="168">
        <v>228.1</v>
      </c>
      <c r="G59" s="168">
        <v>276.39999999999998</v>
      </c>
      <c r="H59" s="168">
        <v>346.9</v>
      </c>
      <c r="I59" s="168">
        <v>222.9</v>
      </c>
      <c r="J59" s="168">
        <v>345</v>
      </c>
      <c r="K59" s="168">
        <v>414</v>
      </c>
      <c r="L59" s="168">
        <v>294.7</v>
      </c>
    </row>
    <row r="60" spans="2:12">
      <c r="B60" s="166"/>
      <c r="C60" s="158" t="s">
        <v>59</v>
      </c>
      <c r="D60" s="168">
        <v>272.39999999999998</v>
      </c>
      <c r="E60" s="160">
        <v>336.6</v>
      </c>
      <c r="F60" s="160">
        <v>223.1</v>
      </c>
      <c r="G60" s="160">
        <v>268.10000000000002</v>
      </c>
      <c r="H60" s="160">
        <v>333.2</v>
      </c>
      <c r="I60" s="160">
        <v>217.6</v>
      </c>
      <c r="J60" s="160">
        <v>340.6</v>
      </c>
      <c r="K60" s="160">
        <v>407.8</v>
      </c>
      <c r="L60" s="160">
        <v>291.89999999999998</v>
      </c>
    </row>
    <row r="61" spans="2:12">
      <c r="B61" s="166"/>
      <c r="C61" s="157">
        <v>1999</v>
      </c>
      <c r="D61" s="127">
        <v>267.8</v>
      </c>
      <c r="E61" s="168">
        <v>328.1</v>
      </c>
      <c r="F61" s="168">
        <v>220.9</v>
      </c>
      <c r="G61" s="168">
        <v>263.39999999999998</v>
      </c>
      <c r="H61" s="168">
        <v>324.7</v>
      </c>
      <c r="I61" s="168">
        <v>215.5</v>
      </c>
      <c r="J61" s="168">
        <v>336.7</v>
      </c>
      <c r="K61" s="168">
        <v>398.9</v>
      </c>
      <c r="L61" s="168">
        <v>290.5</v>
      </c>
    </row>
    <row r="62" spans="2:12">
      <c r="B62" s="166"/>
      <c r="C62" s="8">
        <v>2000</v>
      </c>
      <c r="D62" s="127">
        <v>257.89999999999998</v>
      </c>
      <c r="E62" s="127">
        <v>315</v>
      </c>
      <c r="F62" s="127">
        <v>213</v>
      </c>
      <c r="G62" s="127">
        <v>253.6</v>
      </c>
      <c r="H62" s="127">
        <v>311.89999999999998</v>
      </c>
      <c r="I62" s="127">
        <v>207.5</v>
      </c>
      <c r="J62" s="127">
        <v>326.5</v>
      </c>
      <c r="K62" s="127">
        <v>382.7</v>
      </c>
      <c r="L62" s="127">
        <v>284.10000000000002</v>
      </c>
    </row>
    <row r="63" spans="2:12">
      <c r="B63" s="166"/>
      <c r="C63" s="8">
        <v>2001</v>
      </c>
      <c r="D63" s="127">
        <v>247.8</v>
      </c>
      <c r="E63" s="127">
        <v>305.39999999999998</v>
      </c>
      <c r="F63" s="127">
        <v>203.9</v>
      </c>
      <c r="G63" s="127">
        <v>243.5</v>
      </c>
      <c r="H63" s="127">
        <v>301.8</v>
      </c>
      <c r="I63" s="127">
        <v>198.7</v>
      </c>
      <c r="J63" s="127">
        <v>316.89999999999998</v>
      </c>
      <c r="K63" s="127">
        <v>384.5</v>
      </c>
      <c r="L63" s="127">
        <v>269.8</v>
      </c>
    </row>
    <row r="64" spans="2:12">
      <c r="B64" s="166"/>
      <c r="C64" s="8">
        <v>2002</v>
      </c>
      <c r="D64" s="127">
        <v>240.8</v>
      </c>
      <c r="E64" s="127">
        <v>297.39999999999998</v>
      </c>
      <c r="F64" s="127">
        <v>197.2</v>
      </c>
      <c r="G64" s="127">
        <v>236.7</v>
      </c>
      <c r="H64" s="127">
        <v>294.10000000000002</v>
      </c>
      <c r="I64" s="127">
        <v>192.1</v>
      </c>
      <c r="J64" s="127">
        <v>308.39999999999998</v>
      </c>
      <c r="K64" s="127">
        <v>371</v>
      </c>
      <c r="L64" s="127">
        <v>263.2</v>
      </c>
    </row>
    <row r="65" spans="2:12">
      <c r="B65" s="166"/>
      <c r="C65" s="8">
        <v>2003</v>
      </c>
      <c r="D65" s="127">
        <v>232.3</v>
      </c>
      <c r="E65" s="127">
        <v>286.60000000000002</v>
      </c>
      <c r="F65" s="127">
        <v>190.3</v>
      </c>
      <c r="G65" s="127">
        <v>228.2</v>
      </c>
      <c r="H65" s="127">
        <v>282.89999999999998</v>
      </c>
      <c r="I65" s="127">
        <v>185.4</v>
      </c>
      <c r="J65" s="127">
        <v>300.2</v>
      </c>
      <c r="K65" s="127">
        <v>364.3</v>
      </c>
      <c r="L65" s="127">
        <v>253.8</v>
      </c>
    </row>
    <row r="66" spans="2:12">
      <c r="B66" s="166"/>
      <c r="C66" s="8">
        <v>2004</v>
      </c>
      <c r="D66" s="127">
        <v>217</v>
      </c>
      <c r="E66" s="127">
        <v>267.89999999999998</v>
      </c>
      <c r="F66" s="127">
        <v>177.3</v>
      </c>
      <c r="G66" s="127">
        <v>213.3</v>
      </c>
      <c r="H66" s="127">
        <v>264.60000000000002</v>
      </c>
      <c r="I66" s="127">
        <v>172.9</v>
      </c>
      <c r="J66" s="127">
        <v>280.60000000000002</v>
      </c>
      <c r="K66" s="127">
        <v>342.1</v>
      </c>
      <c r="L66" s="127">
        <v>236.5</v>
      </c>
    </row>
    <row r="67" spans="2:12">
      <c r="B67" s="166"/>
      <c r="C67" s="8">
        <v>2005</v>
      </c>
      <c r="D67" s="127">
        <v>211.1</v>
      </c>
      <c r="E67" s="127">
        <v>260.89999999999998</v>
      </c>
      <c r="F67" s="127">
        <v>172.3</v>
      </c>
      <c r="G67" s="127">
        <v>207.8</v>
      </c>
      <c r="H67" s="127">
        <v>258</v>
      </c>
      <c r="I67" s="127">
        <v>168.2</v>
      </c>
      <c r="J67" s="127">
        <v>271.3</v>
      </c>
      <c r="K67" s="127">
        <v>329.8</v>
      </c>
      <c r="L67" s="127">
        <v>228.3</v>
      </c>
    </row>
    <row r="68" spans="2:12">
      <c r="B68" s="166"/>
      <c r="C68" s="8">
        <v>2006</v>
      </c>
      <c r="D68" s="127">
        <v>200.2</v>
      </c>
      <c r="E68" s="127">
        <v>248.5</v>
      </c>
      <c r="F68" s="127">
        <v>162.19999999999999</v>
      </c>
      <c r="G68" s="127">
        <v>197</v>
      </c>
      <c r="H68" s="127">
        <v>245.2</v>
      </c>
      <c r="I68" s="127">
        <v>158.6</v>
      </c>
      <c r="J68" s="127">
        <v>257.7</v>
      </c>
      <c r="K68" s="127">
        <v>320.60000000000002</v>
      </c>
      <c r="L68" s="127">
        <v>212.5</v>
      </c>
    </row>
    <row r="69" spans="2:12">
      <c r="B69" s="166"/>
      <c r="C69" s="8">
        <v>2007</v>
      </c>
      <c r="D69" s="127">
        <v>190.9</v>
      </c>
      <c r="E69" s="127">
        <v>237.7</v>
      </c>
      <c r="F69" s="127">
        <v>154</v>
      </c>
      <c r="G69" s="127">
        <v>187.8</v>
      </c>
      <c r="H69" s="127">
        <v>234.8</v>
      </c>
      <c r="I69" s="127">
        <v>150.5</v>
      </c>
      <c r="J69" s="127">
        <v>247.3</v>
      </c>
      <c r="K69" s="127">
        <v>305.89999999999998</v>
      </c>
      <c r="L69" s="127">
        <v>204.5</v>
      </c>
    </row>
    <row r="70" spans="2:12">
      <c r="B70" s="166"/>
      <c r="C70" s="8">
        <v>2008</v>
      </c>
      <c r="D70" s="127">
        <v>186.5</v>
      </c>
      <c r="E70" s="127">
        <v>232.3</v>
      </c>
      <c r="F70" s="127">
        <v>150.4</v>
      </c>
      <c r="G70" s="127">
        <v>183.9</v>
      </c>
      <c r="H70" s="127">
        <v>229.9</v>
      </c>
      <c r="I70" s="127">
        <v>147.19999999999999</v>
      </c>
      <c r="J70" s="127">
        <v>238.6</v>
      </c>
      <c r="K70" s="127">
        <v>295.60000000000002</v>
      </c>
      <c r="L70" s="127">
        <v>197.5</v>
      </c>
    </row>
    <row r="71" spans="2:12">
      <c r="B71" s="166"/>
      <c r="C71" s="8">
        <v>2009</v>
      </c>
      <c r="D71" s="127">
        <v>180.1</v>
      </c>
      <c r="E71" s="127">
        <v>228.6</v>
      </c>
      <c r="F71" s="127">
        <v>143</v>
      </c>
      <c r="G71" s="127">
        <v>177</v>
      </c>
      <c r="H71" s="127">
        <v>225.5</v>
      </c>
      <c r="I71" s="127">
        <v>139.5</v>
      </c>
      <c r="J71" s="127">
        <v>234.6</v>
      </c>
      <c r="K71" s="127">
        <v>296.2</v>
      </c>
      <c r="L71" s="127">
        <v>191.8</v>
      </c>
    </row>
    <row r="72" spans="2:12">
      <c r="B72" s="166"/>
      <c r="C72" s="8">
        <v>2010</v>
      </c>
      <c r="D72" s="127">
        <v>179.1</v>
      </c>
      <c r="E72" s="127">
        <v>225.1</v>
      </c>
      <c r="F72" s="127">
        <v>143.30000000000001</v>
      </c>
      <c r="G72" s="127">
        <v>176.9</v>
      </c>
      <c r="H72" s="127">
        <v>222.9</v>
      </c>
      <c r="I72" s="127">
        <v>140.4</v>
      </c>
      <c r="J72" s="127">
        <v>224.9</v>
      </c>
      <c r="K72" s="127">
        <v>280.60000000000002</v>
      </c>
      <c r="L72" s="127">
        <v>185.3</v>
      </c>
    </row>
    <row r="73" spans="2:12">
      <c r="B73" s="166"/>
      <c r="C73" s="8">
        <v>2011</v>
      </c>
      <c r="D73" s="127">
        <v>173.7</v>
      </c>
      <c r="E73" s="127">
        <v>218.1</v>
      </c>
      <c r="F73" s="127">
        <v>138.69999999999999</v>
      </c>
      <c r="G73" s="127">
        <v>172.2</v>
      </c>
      <c r="H73" s="127">
        <v>216.9</v>
      </c>
      <c r="I73" s="127">
        <v>136.5</v>
      </c>
      <c r="J73" s="127">
        <v>214.1</v>
      </c>
      <c r="K73" s="127">
        <v>266.10000000000002</v>
      </c>
      <c r="L73" s="127">
        <v>176.2</v>
      </c>
    </row>
    <row r="74" spans="2:12">
      <c r="B74" s="166"/>
      <c r="C74" s="8">
        <v>2012</v>
      </c>
      <c r="D74" s="127">
        <v>170.5</v>
      </c>
      <c r="E74" s="127">
        <v>214.7</v>
      </c>
      <c r="F74" s="127">
        <v>135.5</v>
      </c>
      <c r="G74" s="127">
        <v>168.9</v>
      </c>
      <c r="H74" s="127">
        <v>213.1</v>
      </c>
      <c r="I74" s="127">
        <v>133.4</v>
      </c>
      <c r="J74" s="127">
        <v>211.7</v>
      </c>
      <c r="K74" s="127">
        <v>265.3</v>
      </c>
      <c r="L74" s="127">
        <v>172.7</v>
      </c>
    </row>
    <row r="75" spans="2:12">
      <c r="B75" s="171"/>
      <c r="C75" s="6"/>
      <c r="D75" s="175"/>
      <c r="E75" s="175"/>
      <c r="F75" s="175"/>
      <c r="G75" s="175"/>
      <c r="H75" s="175"/>
      <c r="I75" s="175"/>
      <c r="J75" s="175"/>
      <c r="K75" s="175"/>
      <c r="L75" s="175"/>
    </row>
    <row r="76" spans="2:12" ht="28.5" customHeight="1">
      <c r="B76" s="347" t="s">
        <v>613</v>
      </c>
      <c r="C76" s="348"/>
      <c r="D76" s="348"/>
      <c r="E76" s="348"/>
      <c r="F76" s="348"/>
      <c r="G76" s="348"/>
      <c r="H76" s="348"/>
      <c r="I76" s="348"/>
      <c r="J76" s="348"/>
      <c r="K76" s="348"/>
      <c r="L76" s="348"/>
    </row>
    <row r="77" spans="2:12" ht="53.25" customHeight="1">
      <c r="B77" s="347" t="s">
        <v>60</v>
      </c>
      <c r="C77" s="348"/>
      <c r="D77" s="348"/>
      <c r="E77" s="348"/>
      <c r="F77" s="348"/>
      <c r="G77" s="348"/>
      <c r="H77" s="348"/>
      <c r="I77" s="348"/>
      <c r="J77" s="348"/>
      <c r="K77" s="348"/>
      <c r="L77" s="348"/>
    </row>
    <row r="78" spans="2:12" ht="78" customHeight="1">
      <c r="B78" s="347" t="s">
        <v>95</v>
      </c>
      <c r="C78" s="348"/>
      <c r="D78" s="348"/>
      <c r="E78" s="348"/>
      <c r="F78" s="348"/>
      <c r="G78" s="348"/>
      <c r="H78" s="348"/>
      <c r="I78" s="348"/>
      <c r="J78" s="348"/>
      <c r="K78" s="348"/>
      <c r="L78" s="348"/>
    </row>
    <row r="79" spans="2:12" ht="33"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6640625" style="2" customWidth="1"/>
    <col min="2" max="2" width="14.1640625" style="2" customWidth="1"/>
    <col min="3" max="3" width="10" style="2" customWidth="1"/>
    <col min="4" max="4" width="9.83203125" style="2" customWidth="1"/>
    <col min="5" max="8" width="10" style="2" customWidth="1"/>
    <col min="9" max="9" width="10.6640625" style="2" customWidth="1"/>
    <col min="10" max="10" width="10.5" style="2" customWidth="1"/>
    <col min="11" max="11" width="10" style="2" customWidth="1"/>
    <col min="12" max="12" width="9.83203125" style="2" customWidth="1"/>
    <col min="13" max="34" width="12.83203125" style="2"/>
    <col min="35" max="35" width="6.1640625" style="2" customWidth="1"/>
    <col min="36" max="16384" width="12.83203125" style="2"/>
  </cols>
  <sheetData>
    <row r="1" spans="1:12" ht="15.75">
      <c r="A1" s="1"/>
      <c r="B1" s="152"/>
    </row>
    <row r="2" spans="1:12">
      <c r="B2" s="3" t="s">
        <v>63</v>
      </c>
      <c r="C2" s="4"/>
      <c r="D2" s="4"/>
      <c r="E2" s="4"/>
      <c r="F2" s="4"/>
      <c r="G2" s="4"/>
      <c r="H2" s="4"/>
      <c r="I2" s="4"/>
      <c r="J2" s="4"/>
      <c r="K2" s="4"/>
      <c r="L2" s="4"/>
    </row>
    <row r="3" spans="1:12" ht="15.75">
      <c r="B3" s="5" t="s">
        <v>64</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210.2</v>
      </c>
      <c r="E7" s="174">
        <v>274</v>
      </c>
      <c r="F7" s="174">
        <v>167.5</v>
      </c>
      <c r="G7" s="174">
        <v>205.9</v>
      </c>
      <c r="H7" s="174">
        <v>266.8</v>
      </c>
      <c r="I7" s="174">
        <v>165.8</v>
      </c>
      <c r="J7" s="174">
        <v>253.1</v>
      </c>
      <c r="K7" s="174">
        <v>345.6</v>
      </c>
      <c r="L7" s="174">
        <v>184.4</v>
      </c>
    </row>
    <row r="8" spans="1:12">
      <c r="B8" s="11"/>
      <c r="C8" s="157" t="s">
        <v>252</v>
      </c>
      <c r="D8" s="160">
        <v>212.3</v>
      </c>
      <c r="E8" s="160">
        <v>270.2</v>
      </c>
      <c r="F8" s="160">
        <v>174.8</v>
      </c>
      <c r="G8" s="160">
        <v>206.4</v>
      </c>
      <c r="H8" s="160">
        <v>260.3</v>
      </c>
      <c r="I8" s="160">
        <v>172.2</v>
      </c>
      <c r="J8" s="160">
        <v>272.60000000000002</v>
      </c>
      <c r="K8" s="160">
        <v>367.8</v>
      </c>
      <c r="L8" s="160">
        <v>203.7</v>
      </c>
    </row>
    <row r="9" spans="1:12">
      <c r="B9" s="11"/>
      <c r="C9" s="157" t="s">
        <v>253</v>
      </c>
      <c r="D9" s="160">
        <v>215.4</v>
      </c>
      <c r="E9" s="160">
        <v>280.89999999999998</v>
      </c>
      <c r="F9" s="160">
        <v>173.6</v>
      </c>
      <c r="G9" s="160">
        <v>210.9</v>
      </c>
      <c r="H9" s="160">
        <v>273.2</v>
      </c>
      <c r="I9" s="160">
        <v>171.9</v>
      </c>
      <c r="J9" s="160">
        <v>262.5</v>
      </c>
      <c r="K9" s="160">
        <v>357.9</v>
      </c>
      <c r="L9" s="160">
        <v>194.6</v>
      </c>
    </row>
    <row r="10" spans="1:12">
      <c r="B10" s="11"/>
      <c r="C10" s="157" t="s">
        <v>254</v>
      </c>
      <c r="D10" s="160">
        <v>215.2</v>
      </c>
      <c r="E10" s="160">
        <v>282.3</v>
      </c>
      <c r="F10" s="160">
        <v>172.5</v>
      </c>
      <c r="G10" s="160">
        <v>210.2</v>
      </c>
      <c r="H10" s="160">
        <v>273.89999999999998</v>
      </c>
      <c r="I10" s="160">
        <v>170.4</v>
      </c>
      <c r="J10" s="160">
        <v>262.2</v>
      </c>
      <c r="K10" s="160">
        <v>359.5</v>
      </c>
      <c r="L10" s="160">
        <v>193.6</v>
      </c>
    </row>
    <row r="11" spans="1:12">
      <c r="B11" s="11"/>
      <c r="C11" s="157" t="s">
        <v>255</v>
      </c>
      <c r="D11" s="160">
        <v>214.8</v>
      </c>
      <c r="E11" s="160">
        <v>279.5</v>
      </c>
      <c r="F11" s="160">
        <v>173.9</v>
      </c>
      <c r="G11" s="160">
        <v>209.2</v>
      </c>
      <c r="H11" s="160">
        <v>269</v>
      </c>
      <c r="I11" s="160">
        <v>172.1</v>
      </c>
      <c r="J11" s="160">
        <v>269.8</v>
      </c>
      <c r="K11" s="160">
        <v>382.3</v>
      </c>
      <c r="L11" s="160">
        <v>192.5</v>
      </c>
    </row>
    <row r="12" spans="1:12" ht="15.75">
      <c r="B12" s="156"/>
      <c r="C12" s="157" t="s">
        <v>256</v>
      </c>
      <c r="D12" s="160">
        <v>216.7</v>
      </c>
      <c r="E12" s="160">
        <v>281.39999999999998</v>
      </c>
      <c r="F12" s="160">
        <v>176.2</v>
      </c>
      <c r="G12" s="160">
        <v>211.3</v>
      </c>
      <c r="H12" s="160">
        <v>272.5</v>
      </c>
      <c r="I12" s="160">
        <v>173.5</v>
      </c>
      <c r="J12" s="160">
        <v>271.39999999999998</v>
      </c>
      <c r="K12" s="160">
        <v>370</v>
      </c>
      <c r="L12" s="160">
        <v>203.8</v>
      </c>
    </row>
    <row r="13" spans="1:12">
      <c r="B13" s="11"/>
      <c r="C13" s="157" t="s">
        <v>257</v>
      </c>
      <c r="D13" s="160">
        <v>213.8</v>
      </c>
      <c r="E13" s="160">
        <v>281.89999999999998</v>
      </c>
      <c r="F13" s="160">
        <v>171.1</v>
      </c>
      <c r="G13" s="160">
        <v>207.7</v>
      </c>
      <c r="H13" s="160">
        <v>272.5</v>
      </c>
      <c r="I13" s="160">
        <v>167.7</v>
      </c>
      <c r="J13" s="160">
        <v>270.60000000000002</v>
      </c>
      <c r="K13" s="160">
        <v>372.4</v>
      </c>
      <c r="L13" s="160">
        <v>200.8</v>
      </c>
    </row>
    <row r="14" spans="1:12">
      <c r="B14" s="11"/>
      <c r="C14" s="157" t="s">
        <v>258</v>
      </c>
      <c r="D14" s="160">
        <v>215.4</v>
      </c>
      <c r="E14" s="160">
        <v>278.5</v>
      </c>
      <c r="F14" s="160">
        <v>176.2</v>
      </c>
      <c r="G14" s="160">
        <v>210.3</v>
      </c>
      <c r="H14" s="160">
        <v>269.60000000000002</v>
      </c>
      <c r="I14" s="160">
        <v>173.8</v>
      </c>
      <c r="J14" s="160">
        <v>266.7</v>
      </c>
      <c r="K14" s="160">
        <v>367.6</v>
      </c>
      <c r="L14" s="160">
        <v>200.3</v>
      </c>
    </row>
    <row r="15" spans="1:12" ht="15.75">
      <c r="B15" s="156" t="s">
        <v>52</v>
      </c>
      <c r="C15" s="157" t="s">
        <v>259</v>
      </c>
      <c r="D15" s="160">
        <v>216.2</v>
      </c>
      <c r="E15" s="160">
        <v>277.2</v>
      </c>
      <c r="F15" s="160">
        <v>177.3</v>
      </c>
      <c r="G15" s="160">
        <v>210.3</v>
      </c>
      <c r="H15" s="160">
        <v>269.39999999999998</v>
      </c>
      <c r="I15" s="160">
        <v>173.2</v>
      </c>
      <c r="J15" s="160">
        <v>271.39999999999998</v>
      </c>
      <c r="K15" s="160">
        <v>353.5</v>
      </c>
      <c r="L15" s="160">
        <v>214.6</v>
      </c>
    </row>
    <row r="16" spans="1:12">
      <c r="B16" s="11"/>
      <c r="C16" s="157" t="s">
        <v>260</v>
      </c>
      <c r="D16" s="160">
        <v>217.8</v>
      </c>
      <c r="E16" s="160">
        <v>277.7</v>
      </c>
      <c r="F16" s="160">
        <v>180.2</v>
      </c>
      <c r="G16" s="160">
        <v>212.5</v>
      </c>
      <c r="H16" s="160">
        <v>269.3</v>
      </c>
      <c r="I16" s="160">
        <v>177.6</v>
      </c>
      <c r="J16" s="160">
        <v>262.39999999999998</v>
      </c>
      <c r="K16" s="160">
        <v>352.9</v>
      </c>
      <c r="L16" s="160">
        <v>200.1</v>
      </c>
    </row>
    <row r="17" spans="2:12">
      <c r="B17" s="11"/>
      <c r="C17" s="157" t="s">
        <v>167</v>
      </c>
      <c r="D17" s="160">
        <v>217.2</v>
      </c>
      <c r="E17" s="160">
        <v>282.60000000000002</v>
      </c>
      <c r="F17" s="160">
        <v>176.4</v>
      </c>
      <c r="G17" s="160">
        <v>210.9</v>
      </c>
      <c r="H17" s="160">
        <v>272.60000000000002</v>
      </c>
      <c r="I17" s="160">
        <v>172.9</v>
      </c>
      <c r="J17" s="160">
        <v>268.8</v>
      </c>
      <c r="K17" s="160">
        <v>370.5</v>
      </c>
      <c r="L17" s="160">
        <v>201.8</v>
      </c>
    </row>
    <row r="18" spans="2:12">
      <c r="B18" s="11"/>
      <c r="C18" s="157" t="s">
        <v>168</v>
      </c>
      <c r="D18" s="160">
        <v>222.7</v>
      </c>
      <c r="E18" s="160">
        <v>286.8</v>
      </c>
      <c r="F18" s="160">
        <v>183.8</v>
      </c>
      <c r="G18" s="160">
        <v>216.5</v>
      </c>
      <c r="H18" s="160">
        <v>277.39999999999998</v>
      </c>
      <c r="I18" s="160">
        <v>180.2</v>
      </c>
      <c r="J18" s="160">
        <v>274.89999999999998</v>
      </c>
      <c r="K18" s="160">
        <v>369.4</v>
      </c>
      <c r="L18" s="160">
        <v>213</v>
      </c>
    </row>
    <row r="19" spans="2:12">
      <c r="B19" s="11"/>
      <c r="C19" s="157" t="s">
        <v>169</v>
      </c>
      <c r="D19" s="160">
        <v>218.8</v>
      </c>
      <c r="E19" s="160">
        <v>284</v>
      </c>
      <c r="F19" s="160">
        <v>177.7</v>
      </c>
      <c r="G19" s="160">
        <v>211.5</v>
      </c>
      <c r="H19" s="160">
        <v>272.5</v>
      </c>
      <c r="I19" s="160">
        <v>173.4</v>
      </c>
      <c r="J19" s="160">
        <v>278.10000000000002</v>
      </c>
      <c r="K19" s="160">
        <v>384.8</v>
      </c>
      <c r="L19" s="160">
        <v>208.6</v>
      </c>
    </row>
    <row r="20" spans="2:12">
      <c r="B20" s="11"/>
      <c r="C20" s="157" t="s">
        <v>170</v>
      </c>
      <c r="D20" s="160">
        <v>215.3</v>
      </c>
      <c r="E20" s="160">
        <v>276.3</v>
      </c>
      <c r="F20" s="160">
        <v>178</v>
      </c>
      <c r="G20" s="160">
        <v>208.2</v>
      </c>
      <c r="H20" s="160">
        <v>264.60000000000002</v>
      </c>
      <c r="I20" s="160">
        <v>174.4</v>
      </c>
      <c r="J20" s="160">
        <v>271.5</v>
      </c>
      <c r="K20" s="160">
        <v>373.6</v>
      </c>
      <c r="L20" s="160">
        <v>205.2</v>
      </c>
    </row>
    <row r="21" spans="2:12">
      <c r="B21" s="11"/>
      <c r="C21" s="157">
        <v>1994</v>
      </c>
      <c r="D21" s="160">
        <v>215</v>
      </c>
      <c r="E21" s="160">
        <v>274.60000000000002</v>
      </c>
      <c r="F21" s="160">
        <v>177.6</v>
      </c>
      <c r="G21" s="160">
        <v>207.7</v>
      </c>
      <c r="H21" s="160">
        <v>263.10000000000002</v>
      </c>
      <c r="I21" s="160">
        <v>173.7</v>
      </c>
      <c r="J21" s="160">
        <v>274.89999999999998</v>
      </c>
      <c r="K21" s="160">
        <v>373.1</v>
      </c>
      <c r="L21" s="160">
        <v>208.7</v>
      </c>
    </row>
    <row r="22" spans="2:12" s="14" customFormat="1">
      <c r="B22" s="11"/>
      <c r="C22" s="157">
        <v>1995</v>
      </c>
      <c r="D22" s="160">
        <v>212.2</v>
      </c>
      <c r="E22" s="160">
        <v>269.39999999999998</v>
      </c>
      <c r="F22" s="160">
        <v>176.8</v>
      </c>
      <c r="G22" s="160">
        <v>205.8</v>
      </c>
      <c r="H22" s="160">
        <v>259.5</v>
      </c>
      <c r="I22" s="160">
        <v>173</v>
      </c>
      <c r="J22" s="160">
        <v>265.3</v>
      </c>
      <c r="K22" s="160">
        <v>357.7</v>
      </c>
      <c r="L22" s="160">
        <v>204.8</v>
      </c>
    </row>
    <row r="23" spans="2:12">
      <c r="B23" s="11"/>
      <c r="C23" s="157">
        <v>1996</v>
      </c>
      <c r="D23" s="160">
        <v>210.6</v>
      </c>
      <c r="E23" s="160">
        <v>266</v>
      </c>
      <c r="F23" s="160">
        <v>175.7</v>
      </c>
      <c r="G23" s="160">
        <v>203.8</v>
      </c>
      <c r="H23" s="160">
        <v>256.39999999999998</v>
      </c>
      <c r="I23" s="160">
        <v>171.1</v>
      </c>
      <c r="J23" s="160">
        <v>268.2</v>
      </c>
      <c r="K23" s="160">
        <v>353.3</v>
      </c>
      <c r="L23" s="160">
        <v>212.7</v>
      </c>
    </row>
    <row r="24" spans="2:12">
      <c r="B24" s="11"/>
      <c r="C24" s="157">
        <v>1997</v>
      </c>
      <c r="D24" s="160">
        <v>207.6</v>
      </c>
      <c r="E24" s="160">
        <v>262.3</v>
      </c>
      <c r="F24" s="160">
        <v>173.8</v>
      </c>
      <c r="G24" s="160">
        <v>201.5</v>
      </c>
      <c r="H24" s="160">
        <v>254</v>
      </c>
      <c r="I24" s="160">
        <v>169.1</v>
      </c>
      <c r="J24" s="160">
        <v>259.7</v>
      </c>
      <c r="K24" s="160">
        <v>338.7</v>
      </c>
      <c r="L24" s="160">
        <v>209.3</v>
      </c>
    </row>
    <row r="25" spans="2:12">
      <c r="B25" s="11"/>
      <c r="C25" s="157">
        <v>1998</v>
      </c>
      <c r="D25" s="160">
        <v>204.2</v>
      </c>
      <c r="E25" s="160">
        <v>256.5</v>
      </c>
      <c r="F25" s="160">
        <v>171.2</v>
      </c>
      <c r="G25" s="160">
        <v>197.9</v>
      </c>
      <c r="H25" s="160">
        <v>246.2</v>
      </c>
      <c r="I25" s="160">
        <v>167.7</v>
      </c>
      <c r="J25" s="160">
        <v>260.10000000000002</v>
      </c>
      <c r="K25" s="160">
        <v>352.4</v>
      </c>
      <c r="L25" s="160">
        <v>201.2</v>
      </c>
    </row>
    <row r="26" spans="2:12">
      <c r="B26" s="11"/>
      <c r="C26" s="157">
        <v>1999</v>
      </c>
      <c r="D26" s="160">
        <v>204.5</v>
      </c>
      <c r="E26" s="160">
        <v>254.3</v>
      </c>
      <c r="F26" s="160">
        <v>172.7</v>
      </c>
      <c r="G26" s="160">
        <v>199.2</v>
      </c>
      <c r="H26" s="160">
        <v>247.6</v>
      </c>
      <c r="I26" s="160">
        <v>168.4</v>
      </c>
      <c r="J26" s="160">
        <v>250.3</v>
      </c>
      <c r="K26" s="160">
        <v>319.89999999999998</v>
      </c>
      <c r="L26" s="160">
        <v>205.9</v>
      </c>
    </row>
    <row r="27" spans="2:12">
      <c r="B27" s="11"/>
      <c r="C27" s="157">
        <v>2000</v>
      </c>
      <c r="D27" s="160">
        <v>202.9</v>
      </c>
      <c r="E27" s="160">
        <v>252.6</v>
      </c>
      <c r="F27" s="160">
        <v>171.7</v>
      </c>
      <c r="G27" s="160">
        <v>197.7</v>
      </c>
      <c r="H27" s="160">
        <v>246.8</v>
      </c>
      <c r="I27" s="160">
        <v>167.1</v>
      </c>
      <c r="J27" s="160">
        <v>250.5</v>
      </c>
      <c r="K27" s="160">
        <v>310.89999999999998</v>
      </c>
      <c r="L27" s="160">
        <v>211.2</v>
      </c>
    </row>
    <row r="28" spans="2:12">
      <c r="B28" s="11"/>
      <c r="C28" s="8">
        <v>2001</v>
      </c>
      <c r="D28" s="160">
        <v>199</v>
      </c>
      <c r="E28" s="160">
        <v>248.4</v>
      </c>
      <c r="F28" s="160">
        <v>167.7</v>
      </c>
      <c r="G28" s="160">
        <v>194.2</v>
      </c>
      <c r="H28" s="160">
        <v>241.1</v>
      </c>
      <c r="I28" s="160">
        <v>164.5</v>
      </c>
      <c r="J28" s="160">
        <v>242.1</v>
      </c>
      <c r="K28" s="160">
        <v>318.60000000000002</v>
      </c>
      <c r="L28" s="160">
        <v>194.6</v>
      </c>
    </row>
    <row r="29" spans="2:12">
      <c r="B29" s="11"/>
      <c r="C29" s="157">
        <v>2002</v>
      </c>
      <c r="D29" s="159">
        <v>198.4</v>
      </c>
      <c r="E29" s="159">
        <v>243.2</v>
      </c>
      <c r="F29" s="159">
        <v>169.2</v>
      </c>
      <c r="G29" s="159">
        <v>193</v>
      </c>
      <c r="H29" s="159">
        <v>235.5</v>
      </c>
      <c r="I29" s="159">
        <v>165.3</v>
      </c>
      <c r="J29" s="159">
        <v>249.6</v>
      </c>
      <c r="K29" s="159">
        <v>322.89999999999998</v>
      </c>
      <c r="L29" s="159">
        <v>203.7</v>
      </c>
    </row>
    <row r="30" spans="2:12">
      <c r="B30" s="11"/>
      <c r="C30" s="157">
        <v>2003</v>
      </c>
      <c r="D30" s="159">
        <v>192.7</v>
      </c>
      <c r="E30" s="159">
        <v>236.7</v>
      </c>
      <c r="F30" s="159">
        <v>163.6</v>
      </c>
      <c r="G30" s="159">
        <v>188.2</v>
      </c>
      <c r="H30" s="159">
        <v>230.8</v>
      </c>
      <c r="I30" s="159">
        <v>159.80000000000001</v>
      </c>
      <c r="J30" s="159">
        <v>235.6</v>
      </c>
      <c r="K30" s="159">
        <v>301.7</v>
      </c>
      <c r="L30" s="159">
        <v>193.3</v>
      </c>
    </row>
    <row r="31" spans="2:12">
      <c r="B31" s="11"/>
      <c r="C31" s="157">
        <v>2004</v>
      </c>
      <c r="D31" s="159">
        <v>190.9</v>
      </c>
      <c r="E31" s="159">
        <v>235.1</v>
      </c>
      <c r="F31" s="159">
        <v>161.80000000000001</v>
      </c>
      <c r="G31" s="159">
        <v>185.6</v>
      </c>
      <c r="H31" s="159">
        <v>227</v>
      </c>
      <c r="I31" s="159">
        <v>158.1</v>
      </c>
      <c r="J31" s="159">
        <v>232.8</v>
      </c>
      <c r="K31" s="159">
        <v>304.7</v>
      </c>
      <c r="L31" s="159">
        <v>188.9</v>
      </c>
    </row>
    <row r="32" spans="2:12">
      <c r="B32" s="11"/>
      <c r="C32" s="157">
        <v>2005</v>
      </c>
      <c r="D32" s="159">
        <v>192.4</v>
      </c>
      <c r="E32" s="159">
        <v>232.9</v>
      </c>
      <c r="F32" s="159">
        <v>165.3</v>
      </c>
      <c r="G32" s="159">
        <v>188.1</v>
      </c>
      <c r="H32" s="159">
        <v>226.7</v>
      </c>
      <c r="I32" s="159">
        <v>162</v>
      </c>
      <c r="J32" s="159">
        <v>227.4</v>
      </c>
      <c r="K32" s="159">
        <v>289.7</v>
      </c>
      <c r="L32" s="159">
        <v>188.2</v>
      </c>
    </row>
    <row r="33" spans="2:12">
      <c r="B33" s="11"/>
      <c r="C33" s="157">
        <v>2006</v>
      </c>
      <c r="D33" s="159">
        <v>190.2</v>
      </c>
      <c r="E33" s="159">
        <v>228.2</v>
      </c>
      <c r="F33" s="159">
        <v>164.9</v>
      </c>
      <c r="G33" s="159">
        <v>184.3</v>
      </c>
      <c r="H33" s="159">
        <v>221.2</v>
      </c>
      <c r="I33" s="159">
        <v>159.4</v>
      </c>
      <c r="J33" s="159">
        <v>234.5</v>
      </c>
      <c r="K33" s="159">
        <v>287.10000000000002</v>
      </c>
      <c r="L33" s="159">
        <v>201.7</v>
      </c>
    </row>
    <row r="34" spans="2:12">
      <c r="B34" s="11"/>
      <c r="C34" s="157">
        <v>2007</v>
      </c>
      <c r="D34" s="159">
        <v>186.1</v>
      </c>
      <c r="E34" s="159">
        <v>225</v>
      </c>
      <c r="F34" s="159">
        <v>160.30000000000001</v>
      </c>
      <c r="G34" s="159">
        <v>180.6</v>
      </c>
      <c r="H34" s="159">
        <v>217.9</v>
      </c>
      <c r="I34" s="159">
        <v>155.30000000000001</v>
      </c>
      <c r="J34" s="159">
        <v>227.9</v>
      </c>
      <c r="K34" s="159">
        <v>284.3</v>
      </c>
      <c r="L34" s="159">
        <v>194.4</v>
      </c>
    </row>
    <row r="35" spans="2:12">
      <c r="B35" s="11"/>
      <c r="C35" s="157">
        <v>2008</v>
      </c>
      <c r="D35" s="159">
        <v>183.9</v>
      </c>
      <c r="E35" s="159">
        <v>220.7</v>
      </c>
      <c r="F35" s="159">
        <v>159</v>
      </c>
      <c r="G35" s="159">
        <v>178.9</v>
      </c>
      <c r="H35" s="159">
        <v>213.2</v>
      </c>
      <c r="I35" s="159">
        <v>155.6</v>
      </c>
      <c r="J35" s="159">
        <v>221.8</v>
      </c>
      <c r="K35" s="159">
        <v>283.3</v>
      </c>
      <c r="L35" s="159">
        <v>183.3</v>
      </c>
    </row>
    <row r="36" spans="2:12">
      <c r="B36" s="11"/>
      <c r="C36" s="157">
        <v>2009</v>
      </c>
      <c r="D36" s="159">
        <v>181.5</v>
      </c>
      <c r="E36" s="159">
        <v>218.8</v>
      </c>
      <c r="F36" s="159">
        <v>155.69999999999999</v>
      </c>
      <c r="G36" s="159">
        <v>176.6</v>
      </c>
      <c r="H36" s="159">
        <v>212.5</v>
      </c>
      <c r="I36" s="159">
        <v>151.69999999999999</v>
      </c>
      <c r="J36" s="159">
        <v>220.6</v>
      </c>
      <c r="K36" s="159">
        <v>273</v>
      </c>
      <c r="L36" s="159">
        <v>186.5</v>
      </c>
    </row>
    <row r="37" spans="2:12">
      <c r="B37" s="11"/>
      <c r="C37" s="157">
        <v>2010</v>
      </c>
      <c r="D37" s="159">
        <v>182.3</v>
      </c>
      <c r="E37" s="159">
        <v>218.6</v>
      </c>
      <c r="F37" s="159">
        <v>157.19999999999999</v>
      </c>
      <c r="G37" s="159">
        <v>178.1</v>
      </c>
      <c r="H37" s="159">
        <v>213.3</v>
      </c>
      <c r="I37" s="159">
        <v>153.4</v>
      </c>
      <c r="J37" s="159">
        <v>217.2</v>
      </c>
      <c r="K37" s="159">
        <v>269.39999999999998</v>
      </c>
      <c r="L37" s="159">
        <v>185.5</v>
      </c>
    </row>
    <row r="38" spans="2:12">
      <c r="B38" s="11"/>
      <c r="C38" s="157">
        <v>2011</v>
      </c>
      <c r="D38" s="159">
        <v>177.2</v>
      </c>
      <c r="E38" s="159">
        <v>211</v>
      </c>
      <c r="F38" s="159">
        <v>153.30000000000001</v>
      </c>
      <c r="G38" s="159">
        <v>173.2</v>
      </c>
      <c r="H38" s="159">
        <v>205.7</v>
      </c>
      <c r="I38" s="159">
        <v>149.80000000000001</v>
      </c>
      <c r="J38" s="159">
        <v>212.9</v>
      </c>
      <c r="K38" s="159">
        <v>266.3</v>
      </c>
      <c r="L38" s="159">
        <v>178.8</v>
      </c>
    </row>
    <row r="39" spans="2:12">
      <c r="B39" s="11"/>
      <c r="C39" s="157">
        <v>2012</v>
      </c>
      <c r="D39" s="159">
        <v>174.9</v>
      </c>
      <c r="E39" s="159">
        <v>208.8</v>
      </c>
      <c r="F39" s="159">
        <v>150.6</v>
      </c>
      <c r="G39" s="159">
        <v>170.7</v>
      </c>
      <c r="H39" s="159">
        <v>203.4</v>
      </c>
      <c r="I39" s="159">
        <v>147.1</v>
      </c>
      <c r="J39" s="159">
        <v>210.4</v>
      </c>
      <c r="K39" s="159">
        <v>260.2</v>
      </c>
      <c r="L39" s="159">
        <v>178</v>
      </c>
    </row>
    <row r="40" spans="2:12">
      <c r="B40" s="11"/>
      <c r="C40" s="157">
        <v>2013</v>
      </c>
      <c r="D40" s="159">
        <v>170.7</v>
      </c>
      <c r="E40" s="159">
        <v>203</v>
      </c>
      <c r="F40" s="159">
        <v>147.9</v>
      </c>
      <c r="G40" s="159">
        <v>166.6</v>
      </c>
      <c r="H40" s="159">
        <v>198.3</v>
      </c>
      <c r="I40" s="159">
        <v>144</v>
      </c>
      <c r="J40" s="159">
        <v>207</v>
      </c>
      <c r="K40" s="159">
        <v>251.4</v>
      </c>
      <c r="L40" s="159">
        <v>178.7</v>
      </c>
    </row>
    <row r="41" spans="2:12">
      <c r="B41" s="11"/>
      <c r="C41" s="157"/>
      <c r="D41" s="159"/>
      <c r="E41" s="159"/>
      <c r="F41" s="159"/>
      <c r="G41" s="159"/>
      <c r="H41" s="159"/>
      <c r="I41" s="159"/>
      <c r="J41" s="159"/>
      <c r="K41" s="159"/>
      <c r="L41" s="159"/>
    </row>
    <row r="42" spans="2:12">
      <c r="B42" s="64"/>
      <c r="C42" s="163" t="s">
        <v>166</v>
      </c>
      <c r="D42" s="164">
        <v>207.9</v>
      </c>
      <c r="E42" s="164">
        <v>271.2</v>
      </c>
      <c r="F42" s="164">
        <v>166.7</v>
      </c>
      <c r="G42" s="164">
        <v>204.2</v>
      </c>
      <c r="H42" s="164">
        <v>265.10000000000002</v>
      </c>
      <c r="I42" s="164">
        <v>165.2</v>
      </c>
      <c r="J42" s="164">
        <v>256.39999999999998</v>
      </c>
      <c r="K42" s="164">
        <v>353.4</v>
      </c>
      <c r="L42" s="164">
        <v>189.5</v>
      </c>
    </row>
    <row r="43" spans="2:12">
      <c r="B43" s="11"/>
      <c r="C43" s="157" t="s">
        <v>252</v>
      </c>
      <c r="D43" s="48">
        <v>206.4</v>
      </c>
      <c r="E43" s="48">
        <v>268.60000000000002</v>
      </c>
      <c r="F43" s="48">
        <v>166.2</v>
      </c>
      <c r="G43" s="48">
        <v>202.7</v>
      </c>
      <c r="H43" s="48">
        <v>262.2</v>
      </c>
      <c r="I43" s="48">
        <v>164.9</v>
      </c>
      <c r="J43" s="48">
        <v>255.3</v>
      </c>
      <c r="K43" s="48">
        <v>355.3</v>
      </c>
      <c r="L43" s="48">
        <v>186.5</v>
      </c>
    </row>
    <row r="44" spans="2:12">
      <c r="B44" s="11"/>
      <c r="C44" s="157" t="s">
        <v>253</v>
      </c>
      <c r="D44" s="48">
        <v>208.3</v>
      </c>
      <c r="E44" s="48">
        <v>271.89999999999998</v>
      </c>
      <c r="F44" s="48">
        <v>167.7</v>
      </c>
      <c r="G44" s="48">
        <v>204.7</v>
      </c>
      <c r="H44" s="48">
        <v>265.5</v>
      </c>
      <c r="I44" s="48">
        <v>166.5</v>
      </c>
      <c r="J44" s="48">
        <v>258.8</v>
      </c>
      <c r="K44" s="48">
        <v>361.3</v>
      </c>
      <c r="L44" s="48">
        <v>189.4</v>
      </c>
    </row>
    <row r="45" spans="2:12">
      <c r="B45" s="11"/>
      <c r="C45" s="157" t="s">
        <v>254</v>
      </c>
      <c r="D45" s="48">
        <v>209.1</v>
      </c>
      <c r="E45" s="48">
        <v>272.89999999999998</v>
      </c>
      <c r="F45" s="48">
        <v>168.5</v>
      </c>
      <c r="G45" s="48">
        <v>205.2</v>
      </c>
      <c r="H45" s="48">
        <v>266.10000000000002</v>
      </c>
      <c r="I45" s="48">
        <v>167</v>
      </c>
      <c r="J45" s="48">
        <v>262.2</v>
      </c>
      <c r="K45" s="48">
        <v>365.6</v>
      </c>
      <c r="L45" s="48">
        <v>192.4</v>
      </c>
    </row>
    <row r="46" spans="2:12">
      <c r="B46" s="11"/>
      <c r="C46" s="157" t="s">
        <v>255</v>
      </c>
      <c r="D46" s="48">
        <v>210.8</v>
      </c>
      <c r="E46" s="48">
        <v>273.8</v>
      </c>
      <c r="F46" s="48">
        <v>170.8</v>
      </c>
      <c r="G46" s="48">
        <v>206.7</v>
      </c>
      <c r="H46" s="48">
        <v>266.39999999999998</v>
      </c>
      <c r="I46" s="48">
        <v>169.4</v>
      </c>
      <c r="J46" s="48">
        <v>266.60000000000002</v>
      </c>
      <c r="K46" s="48">
        <v>374.5</v>
      </c>
      <c r="L46" s="48">
        <v>194.8</v>
      </c>
    </row>
    <row r="47" spans="2:12" ht="15.75">
      <c r="B47" s="156"/>
      <c r="C47" s="157" t="s">
        <v>256</v>
      </c>
      <c r="D47" s="48">
        <v>211.3</v>
      </c>
      <c r="E47" s="48">
        <v>274.39999999999998</v>
      </c>
      <c r="F47" s="48">
        <v>171.2</v>
      </c>
      <c r="G47" s="48">
        <v>207.3</v>
      </c>
      <c r="H47" s="48">
        <v>267.10000000000002</v>
      </c>
      <c r="I47" s="48">
        <v>169.9</v>
      </c>
      <c r="J47" s="48">
        <v>266.5</v>
      </c>
      <c r="K47" s="48">
        <v>373.9</v>
      </c>
      <c r="L47" s="48">
        <v>195.5</v>
      </c>
    </row>
    <row r="48" spans="2:12" ht="15.75">
      <c r="B48" s="165"/>
      <c r="C48" s="157" t="s">
        <v>257</v>
      </c>
      <c r="D48" s="48">
        <v>211.5</v>
      </c>
      <c r="E48" s="48">
        <v>274.5</v>
      </c>
      <c r="F48" s="48">
        <v>171.7</v>
      </c>
      <c r="G48" s="48">
        <v>207.5</v>
      </c>
      <c r="H48" s="48">
        <v>267.3</v>
      </c>
      <c r="I48" s="48">
        <v>170.2</v>
      </c>
      <c r="J48" s="48">
        <v>268.10000000000002</v>
      </c>
      <c r="K48" s="48">
        <v>375.7</v>
      </c>
      <c r="L48" s="48">
        <v>198.2</v>
      </c>
    </row>
    <row r="49" spans="2:12" ht="15.75">
      <c r="B49" s="156" t="s">
        <v>54</v>
      </c>
      <c r="C49" s="157" t="s">
        <v>258</v>
      </c>
      <c r="D49" s="48">
        <v>211.7</v>
      </c>
      <c r="E49" s="48">
        <v>274.8</v>
      </c>
      <c r="F49" s="48">
        <v>171.7</v>
      </c>
      <c r="G49" s="48">
        <v>207.7</v>
      </c>
      <c r="H49" s="48">
        <v>267.5</v>
      </c>
      <c r="I49" s="48">
        <v>170.2</v>
      </c>
      <c r="J49" s="48">
        <v>269.7</v>
      </c>
      <c r="K49" s="48">
        <v>380.2</v>
      </c>
      <c r="L49" s="48">
        <v>199</v>
      </c>
    </row>
    <row r="50" spans="2:12" ht="15.75">
      <c r="B50" s="165" t="s">
        <v>55</v>
      </c>
      <c r="C50" s="157" t="s">
        <v>259</v>
      </c>
      <c r="D50" s="48">
        <v>212.5</v>
      </c>
      <c r="E50" s="48">
        <v>275.5</v>
      </c>
      <c r="F50" s="48">
        <v>172.7</v>
      </c>
      <c r="G50" s="48">
        <v>208.4</v>
      </c>
      <c r="H50" s="48">
        <v>268.10000000000002</v>
      </c>
      <c r="I50" s="48">
        <v>171.3</v>
      </c>
      <c r="J50" s="48">
        <v>270.5</v>
      </c>
      <c r="K50" s="48">
        <v>381.9</v>
      </c>
      <c r="L50" s="48">
        <v>199.6</v>
      </c>
    </row>
    <row r="51" spans="2:12">
      <c r="B51" s="11"/>
      <c r="C51" s="157" t="s">
        <v>260</v>
      </c>
      <c r="D51" s="48">
        <v>214.2</v>
      </c>
      <c r="E51" s="48">
        <v>277.10000000000002</v>
      </c>
      <c r="F51" s="48">
        <v>174.4</v>
      </c>
      <c r="G51" s="48">
        <v>210</v>
      </c>
      <c r="H51" s="48">
        <v>269</v>
      </c>
      <c r="I51" s="48">
        <v>173.2</v>
      </c>
      <c r="J51" s="48">
        <v>274.7</v>
      </c>
      <c r="K51" s="48">
        <v>392.3</v>
      </c>
      <c r="L51" s="48">
        <v>200.6</v>
      </c>
    </row>
    <row r="52" spans="2:12">
      <c r="B52" s="11"/>
      <c r="C52" s="157" t="s">
        <v>167</v>
      </c>
      <c r="D52" s="48">
        <v>216</v>
      </c>
      <c r="E52" s="48">
        <v>280.39999999999998</v>
      </c>
      <c r="F52" s="48">
        <v>175.7</v>
      </c>
      <c r="G52" s="48">
        <v>211.6</v>
      </c>
      <c r="H52" s="48">
        <v>272.2</v>
      </c>
      <c r="I52" s="48">
        <v>174</v>
      </c>
      <c r="J52" s="48">
        <v>279.5</v>
      </c>
      <c r="K52" s="48">
        <v>397.9</v>
      </c>
      <c r="L52" s="48">
        <v>205.9</v>
      </c>
    </row>
    <row r="53" spans="2:12">
      <c r="B53" s="11"/>
      <c r="C53" s="157" t="s">
        <v>168</v>
      </c>
      <c r="D53" s="48">
        <v>215.8</v>
      </c>
      <c r="E53" s="48">
        <v>278.60000000000002</v>
      </c>
      <c r="F53" s="48">
        <v>176.1</v>
      </c>
      <c r="G53" s="48">
        <v>211.5</v>
      </c>
      <c r="H53" s="48">
        <v>271.10000000000002</v>
      </c>
      <c r="I53" s="48">
        <v>174.4</v>
      </c>
      <c r="J53" s="48">
        <v>278.3</v>
      </c>
      <c r="K53" s="48">
        <v>391.8</v>
      </c>
      <c r="L53" s="48">
        <v>207.6</v>
      </c>
    </row>
    <row r="54" spans="2:12">
      <c r="B54" s="11"/>
      <c r="C54" s="157">
        <v>1992</v>
      </c>
      <c r="D54" s="48">
        <v>214.3</v>
      </c>
      <c r="E54" s="48">
        <v>276.2</v>
      </c>
      <c r="F54" s="48">
        <v>175.5</v>
      </c>
      <c r="G54" s="48">
        <v>210.3</v>
      </c>
      <c r="H54" s="48">
        <v>268.89999999999998</v>
      </c>
      <c r="I54" s="48">
        <v>173.8</v>
      </c>
      <c r="J54" s="48">
        <v>275.10000000000002</v>
      </c>
      <c r="K54" s="48">
        <v>386</v>
      </c>
      <c r="L54" s="48">
        <v>206.6</v>
      </c>
    </row>
    <row r="55" spans="2:12">
      <c r="B55" s="11"/>
      <c r="C55" s="158" t="s">
        <v>170</v>
      </c>
      <c r="D55" s="159">
        <v>214.6</v>
      </c>
      <c r="E55" s="159">
        <v>275.8</v>
      </c>
      <c r="F55" s="159">
        <v>175.9</v>
      </c>
      <c r="G55" s="159">
        <v>210.3</v>
      </c>
      <c r="H55" s="159">
        <v>268</v>
      </c>
      <c r="I55" s="159">
        <v>174.2</v>
      </c>
      <c r="J55" s="159">
        <v>276.89999999999998</v>
      </c>
      <c r="K55" s="159">
        <v>390.3</v>
      </c>
      <c r="L55" s="159">
        <v>207</v>
      </c>
    </row>
    <row r="56" spans="2:12">
      <c r="B56" s="166"/>
      <c r="C56" s="157">
        <v>1994</v>
      </c>
      <c r="D56" s="159">
        <v>213.1</v>
      </c>
      <c r="E56" s="167">
        <v>272.2</v>
      </c>
      <c r="F56" s="167">
        <v>175.6</v>
      </c>
      <c r="G56" s="167">
        <v>209.3</v>
      </c>
      <c r="H56" s="167">
        <v>264.89999999999998</v>
      </c>
      <c r="I56" s="167">
        <v>174.3</v>
      </c>
      <c r="J56" s="167">
        <v>271.7</v>
      </c>
      <c r="K56" s="167">
        <v>379.7</v>
      </c>
      <c r="L56" s="167">
        <v>205</v>
      </c>
    </row>
    <row r="57" spans="2:12" s="14" customFormat="1">
      <c r="B57" s="166"/>
      <c r="C57" s="158" t="s">
        <v>56</v>
      </c>
      <c r="D57" s="159">
        <v>211.7</v>
      </c>
      <c r="E57" s="168">
        <v>268.8</v>
      </c>
      <c r="F57" s="168">
        <v>175.4</v>
      </c>
      <c r="G57" s="168">
        <v>207.8</v>
      </c>
      <c r="H57" s="168">
        <v>261.8</v>
      </c>
      <c r="I57" s="168">
        <v>173.7</v>
      </c>
      <c r="J57" s="168">
        <v>269.60000000000002</v>
      </c>
      <c r="K57" s="168">
        <v>372.8</v>
      </c>
      <c r="L57" s="168">
        <v>206</v>
      </c>
    </row>
    <row r="58" spans="2:12">
      <c r="B58" s="166"/>
      <c r="C58" s="158" t="s">
        <v>57</v>
      </c>
      <c r="D58" s="159">
        <v>208.7</v>
      </c>
      <c r="E58" s="168">
        <v>263.2</v>
      </c>
      <c r="F58" s="168">
        <v>173.4</v>
      </c>
      <c r="G58" s="168">
        <v>205.3</v>
      </c>
      <c r="H58" s="168">
        <v>256.8</v>
      </c>
      <c r="I58" s="168">
        <v>172.1</v>
      </c>
      <c r="J58" s="168">
        <v>264.89999999999998</v>
      </c>
      <c r="K58" s="168">
        <v>365.3</v>
      </c>
      <c r="L58" s="168">
        <v>202.3</v>
      </c>
    </row>
    <row r="59" spans="2:12">
      <c r="B59" s="166"/>
      <c r="C59" s="158" t="s">
        <v>58</v>
      </c>
      <c r="D59" s="159">
        <v>205.7</v>
      </c>
      <c r="E59" s="168">
        <v>258</v>
      </c>
      <c r="F59" s="168">
        <v>171.6</v>
      </c>
      <c r="G59" s="168">
        <v>202.2</v>
      </c>
      <c r="H59" s="168">
        <v>251.9</v>
      </c>
      <c r="I59" s="168">
        <v>170</v>
      </c>
      <c r="J59" s="168">
        <v>262.10000000000002</v>
      </c>
      <c r="K59" s="168">
        <v>354.7</v>
      </c>
      <c r="L59" s="168">
        <v>204.4</v>
      </c>
    </row>
    <row r="60" spans="2:12">
      <c r="B60" s="166"/>
      <c r="C60" s="158" t="s">
        <v>59</v>
      </c>
      <c r="D60" s="168">
        <v>202.4</v>
      </c>
      <c r="E60" s="168">
        <v>252.4</v>
      </c>
      <c r="F60" s="168">
        <v>169.2</v>
      </c>
      <c r="G60" s="168">
        <v>199.3</v>
      </c>
      <c r="H60" s="168">
        <v>246.9</v>
      </c>
      <c r="I60" s="168">
        <v>167.7</v>
      </c>
      <c r="J60" s="168">
        <v>255.1</v>
      </c>
      <c r="K60" s="168">
        <v>343.1</v>
      </c>
      <c r="L60" s="168">
        <v>200</v>
      </c>
    </row>
    <row r="61" spans="2:12">
      <c r="B61" s="166"/>
      <c r="C61" s="157">
        <v>1999</v>
      </c>
      <c r="D61" s="127">
        <v>202.7</v>
      </c>
      <c r="E61" s="168">
        <v>251.6</v>
      </c>
      <c r="F61" s="168">
        <v>169.9</v>
      </c>
      <c r="G61" s="168">
        <v>199.8</v>
      </c>
      <c r="H61" s="168">
        <v>246.5</v>
      </c>
      <c r="I61" s="168">
        <v>168.6</v>
      </c>
      <c r="J61" s="168">
        <v>254.4</v>
      </c>
      <c r="K61" s="168">
        <v>340.5</v>
      </c>
      <c r="L61" s="168">
        <v>200.2</v>
      </c>
    </row>
    <row r="62" spans="2:12">
      <c r="B62" s="166"/>
      <c r="C62" s="8">
        <v>2000</v>
      </c>
      <c r="D62" s="127">
        <v>201</v>
      </c>
      <c r="E62" s="127">
        <v>247.4</v>
      </c>
      <c r="F62" s="127">
        <v>169.6</v>
      </c>
      <c r="G62" s="127">
        <v>198.4</v>
      </c>
      <c r="H62" s="127">
        <v>242.5</v>
      </c>
      <c r="I62" s="127">
        <v>168.7</v>
      </c>
      <c r="J62" s="127">
        <v>249.6</v>
      </c>
      <c r="K62" s="127">
        <v>333.2</v>
      </c>
      <c r="L62" s="127">
        <v>196.6</v>
      </c>
    </row>
    <row r="63" spans="2:12">
      <c r="B63" s="166"/>
      <c r="C63" s="8">
        <v>2001</v>
      </c>
      <c r="D63" s="127">
        <v>196</v>
      </c>
      <c r="E63" s="127">
        <v>243.7</v>
      </c>
      <c r="F63" s="127">
        <v>164.7</v>
      </c>
      <c r="G63" s="127">
        <v>193.9</v>
      </c>
      <c r="H63" s="127">
        <v>239.2</v>
      </c>
      <c r="I63" s="127">
        <v>163.9</v>
      </c>
      <c r="J63" s="127">
        <v>243.1</v>
      </c>
      <c r="K63" s="127">
        <v>330.9</v>
      </c>
      <c r="L63" s="127">
        <v>191.3</v>
      </c>
    </row>
    <row r="64" spans="2:12">
      <c r="B64" s="166"/>
      <c r="C64" s="8">
        <v>2002</v>
      </c>
      <c r="D64" s="127">
        <v>193.5</v>
      </c>
      <c r="E64" s="127">
        <v>238.9</v>
      </c>
      <c r="F64" s="127">
        <v>163.1</v>
      </c>
      <c r="G64" s="127">
        <v>191.7</v>
      </c>
      <c r="H64" s="127">
        <v>235.2</v>
      </c>
      <c r="I64" s="127">
        <v>162.4</v>
      </c>
      <c r="J64" s="127">
        <v>238.8</v>
      </c>
      <c r="K64" s="127">
        <v>319.60000000000002</v>
      </c>
      <c r="L64" s="127">
        <v>190.3</v>
      </c>
    </row>
    <row r="65" spans="2:12">
      <c r="B65" s="166"/>
      <c r="C65" s="8">
        <v>2003</v>
      </c>
      <c r="D65" s="127">
        <v>190.1</v>
      </c>
      <c r="E65" s="127">
        <v>233.3</v>
      </c>
      <c r="F65" s="127">
        <v>160.9</v>
      </c>
      <c r="G65" s="127">
        <v>188.5</v>
      </c>
      <c r="H65" s="127">
        <v>230.1</v>
      </c>
      <c r="I65" s="127">
        <v>160.19999999999999</v>
      </c>
      <c r="J65" s="127">
        <v>233.3</v>
      </c>
      <c r="K65" s="127">
        <v>308.8</v>
      </c>
      <c r="L65" s="127">
        <v>187.7</v>
      </c>
    </row>
    <row r="66" spans="2:12">
      <c r="B66" s="166"/>
      <c r="C66" s="8">
        <v>2004</v>
      </c>
      <c r="D66" s="127">
        <v>185.8</v>
      </c>
      <c r="E66" s="127">
        <v>227.7</v>
      </c>
      <c r="F66" s="127">
        <v>157.4</v>
      </c>
      <c r="G66" s="127">
        <v>184.4</v>
      </c>
      <c r="H66" s="127">
        <v>224.4</v>
      </c>
      <c r="I66" s="127">
        <v>157</v>
      </c>
      <c r="J66" s="127">
        <v>227.2</v>
      </c>
      <c r="K66" s="127">
        <v>301.2</v>
      </c>
      <c r="L66" s="127">
        <v>182.5</v>
      </c>
    </row>
    <row r="67" spans="2:12">
      <c r="B67" s="166"/>
      <c r="C67" s="8">
        <v>2005</v>
      </c>
      <c r="D67" s="127">
        <v>183.8</v>
      </c>
      <c r="E67" s="127">
        <v>225.1</v>
      </c>
      <c r="F67" s="127">
        <v>155.6</v>
      </c>
      <c r="G67" s="127">
        <v>182.6</v>
      </c>
      <c r="H67" s="127">
        <v>222.3</v>
      </c>
      <c r="I67" s="127">
        <v>155.19999999999999</v>
      </c>
      <c r="J67" s="127">
        <v>222.7</v>
      </c>
      <c r="K67" s="127">
        <v>293.7</v>
      </c>
      <c r="L67" s="127">
        <v>179.6</v>
      </c>
    </row>
    <row r="68" spans="2:12">
      <c r="B68" s="166"/>
      <c r="C68" s="8">
        <v>2006</v>
      </c>
      <c r="D68" s="127">
        <v>180.7</v>
      </c>
      <c r="E68" s="127">
        <v>220.1</v>
      </c>
      <c r="F68" s="127">
        <v>153.6</v>
      </c>
      <c r="G68" s="127">
        <v>179.9</v>
      </c>
      <c r="H68" s="127">
        <v>217.9</v>
      </c>
      <c r="I68" s="127">
        <v>153.6</v>
      </c>
      <c r="J68" s="127">
        <v>217.4</v>
      </c>
      <c r="K68" s="127">
        <v>284.89999999999998</v>
      </c>
      <c r="L68" s="127">
        <v>176.1</v>
      </c>
    </row>
    <row r="69" spans="2:12">
      <c r="B69" s="166"/>
      <c r="C69" s="8">
        <v>2007</v>
      </c>
      <c r="D69" s="127">
        <v>178.4</v>
      </c>
      <c r="E69" s="127">
        <v>217.5</v>
      </c>
      <c r="F69" s="127">
        <v>151.30000000000001</v>
      </c>
      <c r="G69" s="127">
        <v>177.5</v>
      </c>
      <c r="H69" s="127">
        <v>215.1</v>
      </c>
      <c r="I69" s="127">
        <v>151.19999999999999</v>
      </c>
      <c r="J69" s="127">
        <v>215.5</v>
      </c>
      <c r="K69" s="127">
        <v>282.3</v>
      </c>
      <c r="L69" s="127">
        <v>174.9</v>
      </c>
    </row>
    <row r="70" spans="2:12">
      <c r="B70" s="166"/>
      <c r="C70" s="8">
        <v>2008</v>
      </c>
      <c r="D70" s="127">
        <v>175.3</v>
      </c>
      <c r="E70" s="127">
        <v>213.6</v>
      </c>
      <c r="F70" s="127">
        <v>148.5</v>
      </c>
      <c r="G70" s="127">
        <v>174.7</v>
      </c>
      <c r="H70" s="127">
        <v>211.7</v>
      </c>
      <c r="I70" s="127">
        <v>148.5</v>
      </c>
      <c r="J70" s="127">
        <v>209.1</v>
      </c>
      <c r="K70" s="127">
        <v>272.39999999999998</v>
      </c>
      <c r="L70" s="127">
        <v>170</v>
      </c>
    </row>
    <row r="71" spans="2:12">
      <c r="B71" s="166"/>
      <c r="C71" s="8">
        <v>2009</v>
      </c>
      <c r="D71" s="127">
        <v>173.2</v>
      </c>
      <c r="E71" s="127">
        <v>211.6</v>
      </c>
      <c r="F71" s="127">
        <v>146.80000000000001</v>
      </c>
      <c r="G71" s="127">
        <v>172.6</v>
      </c>
      <c r="H71" s="127">
        <v>209.6</v>
      </c>
      <c r="I71" s="127">
        <v>146.9</v>
      </c>
      <c r="J71" s="127">
        <v>207.1</v>
      </c>
      <c r="K71" s="127">
        <v>273</v>
      </c>
      <c r="L71" s="127">
        <v>167.9</v>
      </c>
    </row>
    <row r="72" spans="2:12">
      <c r="B72" s="166"/>
      <c r="C72" s="8">
        <v>2010</v>
      </c>
      <c r="D72" s="127">
        <v>172.5</v>
      </c>
      <c r="E72" s="127">
        <v>209.9</v>
      </c>
      <c r="F72" s="127">
        <v>146.69999999999999</v>
      </c>
      <c r="G72" s="127">
        <v>172.4</v>
      </c>
      <c r="H72" s="127">
        <v>208.2</v>
      </c>
      <c r="I72" s="127">
        <v>146.9</v>
      </c>
      <c r="J72" s="127">
        <v>203.8</v>
      </c>
      <c r="K72" s="127">
        <v>264.8</v>
      </c>
      <c r="L72" s="127">
        <v>167.1</v>
      </c>
    </row>
    <row r="73" spans="2:12">
      <c r="B73" s="166"/>
      <c r="C73" s="8">
        <v>2011</v>
      </c>
      <c r="D73" s="127">
        <v>169</v>
      </c>
      <c r="E73" s="127">
        <v>204</v>
      </c>
      <c r="F73" s="127">
        <v>144</v>
      </c>
      <c r="G73" s="127">
        <v>168.8</v>
      </c>
      <c r="H73" s="127">
        <v>203.1</v>
      </c>
      <c r="I73" s="127">
        <v>144</v>
      </c>
      <c r="J73" s="127">
        <v>198.8</v>
      </c>
      <c r="K73" s="127">
        <v>252.6</v>
      </c>
      <c r="L73" s="127">
        <v>166.1</v>
      </c>
    </row>
    <row r="74" spans="2:12">
      <c r="B74" s="166"/>
      <c r="C74" s="8">
        <v>2012</v>
      </c>
      <c r="D74" s="127">
        <v>166.5</v>
      </c>
      <c r="E74" s="127">
        <v>200.3</v>
      </c>
      <c r="F74" s="127">
        <v>142.1</v>
      </c>
      <c r="G74" s="127">
        <v>166.6</v>
      </c>
      <c r="H74" s="127">
        <v>199.7</v>
      </c>
      <c r="I74" s="127">
        <v>142.5</v>
      </c>
      <c r="J74" s="127">
        <v>193.8</v>
      </c>
      <c r="K74" s="127">
        <v>246.1</v>
      </c>
      <c r="L74" s="127">
        <v>161.69999999999999</v>
      </c>
    </row>
    <row r="75" spans="2:12">
      <c r="B75" s="171"/>
      <c r="C75" s="6"/>
      <c r="D75" s="175"/>
      <c r="E75" s="175"/>
      <c r="F75" s="175"/>
      <c r="G75" s="175"/>
      <c r="H75" s="175"/>
      <c r="I75" s="175"/>
      <c r="J75" s="175"/>
      <c r="K75" s="175"/>
      <c r="L75" s="175"/>
    </row>
    <row r="76" spans="2:12" ht="31.5" customHeight="1">
      <c r="B76" s="347" t="s">
        <v>613</v>
      </c>
      <c r="C76" s="348"/>
      <c r="D76" s="348"/>
      <c r="E76" s="348"/>
      <c r="F76" s="348"/>
      <c r="G76" s="348"/>
      <c r="H76" s="348"/>
      <c r="I76" s="348"/>
      <c r="J76" s="348"/>
      <c r="K76" s="348"/>
      <c r="L76" s="348"/>
    </row>
    <row r="77" spans="2:12" ht="57" customHeight="1">
      <c r="B77" s="347" t="s">
        <v>60</v>
      </c>
      <c r="C77" s="348"/>
      <c r="D77" s="348"/>
      <c r="E77" s="348"/>
      <c r="F77" s="348"/>
      <c r="G77" s="348"/>
      <c r="H77" s="348"/>
      <c r="I77" s="348"/>
      <c r="J77" s="348"/>
      <c r="K77" s="348"/>
      <c r="L77" s="348"/>
    </row>
    <row r="78" spans="2:12" ht="80.25" customHeight="1">
      <c r="B78" s="347" t="s">
        <v>92</v>
      </c>
      <c r="C78" s="348"/>
      <c r="D78" s="348"/>
      <c r="E78" s="348"/>
      <c r="F78" s="348"/>
      <c r="G78" s="348"/>
      <c r="H78" s="348"/>
      <c r="I78" s="348"/>
      <c r="J78" s="348"/>
      <c r="K78" s="348"/>
      <c r="L78" s="348"/>
    </row>
    <row r="79" spans="2:12" ht="28.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96</v>
      </c>
      <c r="C2" s="4"/>
      <c r="D2" s="4"/>
      <c r="E2" s="4"/>
      <c r="F2" s="4"/>
      <c r="G2" s="4"/>
      <c r="H2" s="4"/>
      <c r="I2" s="4"/>
      <c r="J2" s="4"/>
      <c r="K2" s="4"/>
      <c r="L2" s="4"/>
    </row>
    <row r="3" spans="1:12" ht="15.75">
      <c r="B3" s="5" t="s">
        <v>97</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94.6</v>
      </c>
      <c r="E7" s="174">
        <v>102</v>
      </c>
      <c r="F7" s="174">
        <v>89.2</v>
      </c>
      <c r="G7" s="174">
        <v>92</v>
      </c>
      <c r="H7" s="174">
        <v>99.5</v>
      </c>
      <c r="I7" s="174">
        <v>86.7</v>
      </c>
      <c r="J7" s="174">
        <v>114.7</v>
      </c>
      <c r="K7" s="174">
        <v>121.4</v>
      </c>
      <c r="L7" s="174">
        <v>109.2</v>
      </c>
    </row>
    <row r="8" spans="1:12">
      <c r="B8" s="11"/>
      <c r="C8" s="157" t="s">
        <v>252</v>
      </c>
      <c r="D8" s="160">
        <v>91.8</v>
      </c>
      <c r="E8" s="160">
        <v>96.9</v>
      </c>
      <c r="F8" s="160">
        <v>88</v>
      </c>
      <c r="G8" s="160">
        <v>89.4</v>
      </c>
      <c r="H8" s="160">
        <v>95</v>
      </c>
      <c r="I8" s="160">
        <v>85.5</v>
      </c>
      <c r="J8" s="160">
        <v>111.3</v>
      </c>
      <c r="K8" s="160">
        <v>113.8</v>
      </c>
      <c r="L8" s="160">
        <v>108.2</v>
      </c>
    </row>
    <row r="9" spans="1:12">
      <c r="B9" s="11"/>
      <c r="C9" s="157" t="s">
        <v>253</v>
      </c>
      <c r="D9" s="160">
        <v>85.9</v>
      </c>
      <c r="E9" s="160">
        <v>93.4</v>
      </c>
      <c r="F9" s="160">
        <v>80.400000000000006</v>
      </c>
      <c r="G9" s="160">
        <v>83.9</v>
      </c>
      <c r="H9" s="160">
        <v>91.3</v>
      </c>
      <c r="I9" s="160">
        <v>78.5</v>
      </c>
      <c r="J9" s="160">
        <v>102</v>
      </c>
      <c r="K9" s="160">
        <v>111.4</v>
      </c>
      <c r="L9" s="160">
        <v>94.6</v>
      </c>
    </row>
    <row r="10" spans="1:12">
      <c r="B10" s="11"/>
      <c r="C10" s="157" t="s">
        <v>254</v>
      </c>
      <c r="D10" s="160">
        <v>82.5</v>
      </c>
      <c r="E10" s="160">
        <v>85.9</v>
      </c>
      <c r="F10" s="160">
        <v>79.400000000000006</v>
      </c>
      <c r="G10" s="160">
        <v>80.099999999999994</v>
      </c>
      <c r="H10" s="160">
        <v>83.9</v>
      </c>
      <c r="I10" s="160">
        <v>76.8</v>
      </c>
      <c r="J10" s="160">
        <v>101.9</v>
      </c>
      <c r="K10" s="160">
        <v>102.4</v>
      </c>
      <c r="L10" s="160">
        <v>99.6</v>
      </c>
    </row>
    <row r="11" spans="1:12">
      <c r="B11" s="11"/>
      <c r="C11" s="157" t="s">
        <v>255</v>
      </c>
      <c r="D11" s="160">
        <v>80</v>
      </c>
      <c r="E11" s="160">
        <v>85.6</v>
      </c>
      <c r="F11" s="160">
        <v>76.099999999999994</v>
      </c>
      <c r="G11" s="160">
        <v>79.099999999999994</v>
      </c>
      <c r="H11" s="160">
        <v>84.3</v>
      </c>
      <c r="I11" s="160">
        <v>75.400000000000006</v>
      </c>
      <c r="J11" s="160">
        <v>85.8</v>
      </c>
      <c r="K11" s="160">
        <v>95.7</v>
      </c>
      <c r="L11" s="160">
        <v>78.599999999999994</v>
      </c>
    </row>
    <row r="12" spans="1:12" ht="15.75">
      <c r="B12" s="156"/>
      <c r="C12" s="157" t="s">
        <v>256</v>
      </c>
      <c r="D12" s="160">
        <v>76.8</v>
      </c>
      <c r="E12" s="160">
        <v>80.8</v>
      </c>
      <c r="F12" s="160">
        <v>73.2</v>
      </c>
      <c r="G12" s="160">
        <v>74.8</v>
      </c>
      <c r="H12" s="160">
        <v>79.5</v>
      </c>
      <c r="I12" s="160">
        <v>70.8</v>
      </c>
      <c r="J12" s="160">
        <v>91.6</v>
      </c>
      <c r="K12" s="160">
        <v>90.5</v>
      </c>
      <c r="L12" s="160">
        <v>90.3</v>
      </c>
    </row>
    <row r="13" spans="1:12">
      <c r="B13" s="11"/>
      <c r="C13" s="157" t="s">
        <v>257</v>
      </c>
      <c r="D13" s="160">
        <v>74.599999999999994</v>
      </c>
      <c r="E13" s="160">
        <v>77.400000000000006</v>
      </c>
      <c r="F13" s="160">
        <v>71.599999999999994</v>
      </c>
      <c r="G13" s="160">
        <v>72.8</v>
      </c>
      <c r="H13" s="160">
        <v>76.099999999999994</v>
      </c>
      <c r="I13" s="160">
        <v>69.8</v>
      </c>
      <c r="J13" s="160">
        <v>87.7</v>
      </c>
      <c r="K13" s="160">
        <v>89.5</v>
      </c>
      <c r="L13" s="160">
        <v>84.7</v>
      </c>
    </row>
    <row r="14" spans="1:12">
      <c r="B14" s="11"/>
      <c r="C14" s="157" t="s">
        <v>258</v>
      </c>
      <c r="D14" s="160">
        <v>73.8</v>
      </c>
      <c r="E14" s="160">
        <v>77.8</v>
      </c>
      <c r="F14" s="160">
        <v>70.900000000000006</v>
      </c>
      <c r="G14" s="160">
        <v>71.2</v>
      </c>
      <c r="H14" s="160">
        <v>74.5</v>
      </c>
      <c r="I14" s="160">
        <v>68.8</v>
      </c>
      <c r="J14" s="160">
        <v>94.9</v>
      </c>
      <c r="K14" s="160">
        <v>105</v>
      </c>
      <c r="L14" s="160">
        <v>87</v>
      </c>
    </row>
    <row r="15" spans="1:12" ht="15.75">
      <c r="B15" s="156" t="s">
        <v>52</v>
      </c>
      <c r="C15" s="157" t="s">
        <v>259</v>
      </c>
      <c r="D15" s="160">
        <v>69.5</v>
      </c>
      <c r="E15" s="160">
        <v>73.3</v>
      </c>
      <c r="F15" s="160">
        <v>66.099999999999994</v>
      </c>
      <c r="G15" s="160">
        <v>68</v>
      </c>
      <c r="H15" s="160">
        <v>71.5</v>
      </c>
      <c r="I15" s="160">
        <v>64.8</v>
      </c>
      <c r="J15" s="160">
        <v>82.1</v>
      </c>
      <c r="K15" s="160">
        <v>90.2</v>
      </c>
      <c r="L15" s="160">
        <v>75.5</v>
      </c>
    </row>
    <row r="16" spans="1:12">
      <c r="B16" s="11"/>
      <c r="C16" s="157" t="s">
        <v>260</v>
      </c>
      <c r="D16" s="160">
        <v>67.2</v>
      </c>
      <c r="E16" s="160">
        <v>68.2</v>
      </c>
      <c r="F16" s="160">
        <v>65.599999999999994</v>
      </c>
      <c r="G16" s="160">
        <v>64.7</v>
      </c>
      <c r="H16" s="160">
        <v>66.5</v>
      </c>
      <c r="I16" s="160">
        <v>62.7</v>
      </c>
      <c r="J16" s="160">
        <v>85.3</v>
      </c>
      <c r="K16" s="160">
        <v>80.3</v>
      </c>
      <c r="L16" s="160">
        <v>87</v>
      </c>
    </row>
    <row r="17" spans="2:12">
      <c r="B17" s="11"/>
      <c r="C17" s="157" t="s">
        <v>167</v>
      </c>
      <c r="D17" s="160">
        <v>65.099999999999994</v>
      </c>
      <c r="E17" s="160">
        <v>67.3</v>
      </c>
      <c r="F17" s="160">
        <v>63</v>
      </c>
      <c r="G17" s="160">
        <v>63.8</v>
      </c>
      <c r="H17" s="160">
        <v>66.099999999999994</v>
      </c>
      <c r="I17" s="160">
        <v>61.7</v>
      </c>
      <c r="J17" s="160">
        <v>73.3</v>
      </c>
      <c r="K17" s="160">
        <v>76.3</v>
      </c>
      <c r="L17" s="160">
        <v>70.3</v>
      </c>
    </row>
    <row r="18" spans="2:12">
      <c r="B18" s="11"/>
      <c r="C18" s="157" t="s">
        <v>168</v>
      </c>
      <c r="D18" s="160">
        <v>64.2</v>
      </c>
      <c r="E18" s="160">
        <v>66.2</v>
      </c>
      <c r="F18" s="160">
        <v>62.2</v>
      </c>
      <c r="G18" s="160">
        <v>62.2</v>
      </c>
      <c r="H18" s="160">
        <v>64.599999999999994</v>
      </c>
      <c r="I18" s="160">
        <v>60.3</v>
      </c>
      <c r="J18" s="160">
        <v>77.8</v>
      </c>
      <c r="K18" s="160">
        <v>78.2</v>
      </c>
      <c r="L18" s="160">
        <v>75</v>
      </c>
    </row>
    <row r="19" spans="2:12">
      <c r="B19" s="11"/>
      <c r="C19" s="157" t="s">
        <v>169</v>
      </c>
      <c r="D19" s="160">
        <v>61.8</v>
      </c>
      <c r="E19" s="160">
        <v>64.8</v>
      </c>
      <c r="F19" s="160">
        <v>59.6</v>
      </c>
      <c r="G19" s="160">
        <v>60.5</v>
      </c>
      <c r="H19" s="160">
        <v>63.4</v>
      </c>
      <c r="I19" s="160">
        <v>58.5</v>
      </c>
      <c r="J19" s="160">
        <v>69.099999999999994</v>
      </c>
      <c r="K19" s="160">
        <v>75.3</v>
      </c>
      <c r="L19" s="160">
        <v>64.2</v>
      </c>
    </row>
    <row r="20" spans="2:12">
      <c r="B20" s="11"/>
      <c r="C20" s="157" t="s">
        <v>170</v>
      </c>
      <c r="D20" s="160">
        <v>63.1</v>
      </c>
      <c r="E20" s="160">
        <v>68.7</v>
      </c>
      <c r="F20" s="160">
        <v>58.9</v>
      </c>
      <c r="G20" s="160">
        <v>61.1</v>
      </c>
      <c r="H20" s="160">
        <v>66.599999999999994</v>
      </c>
      <c r="I20" s="160">
        <v>57.2</v>
      </c>
      <c r="J20" s="160">
        <v>76.900000000000006</v>
      </c>
      <c r="K20" s="160">
        <v>87.8</v>
      </c>
      <c r="L20" s="160">
        <v>68.3</v>
      </c>
    </row>
    <row r="21" spans="2:12">
      <c r="B21" s="11"/>
      <c r="C21" s="157">
        <v>1994</v>
      </c>
      <c r="D21" s="160">
        <v>66.3</v>
      </c>
      <c r="E21" s="160">
        <v>67.599999999999994</v>
      </c>
      <c r="F21" s="160">
        <v>64.5</v>
      </c>
      <c r="G21" s="160">
        <v>63.3</v>
      </c>
      <c r="H21" s="160">
        <v>64.7</v>
      </c>
      <c r="I21" s="160">
        <v>61.6</v>
      </c>
      <c r="J21" s="160">
        <v>87.6</v>
      </c>
      <c r="K21" s="160">
        <v>90.4</v>
      </c>
      <c r="L21" s="160">
        <v>84.3</v>
      </c>
    </row>
    <row r="22" spans="2:12" s="14" customFormat="1">
      <c r="B22" s="11"/>
      <c r="C22" s="157">
        <v>1995</v>
      </c>
      <c r="D22" s="160">
        <v>67.099999999999994</v>
      </c>
      <c r="E22" s="160">
        <v>70.5</v>
      </c>
      <c r="F22" s="160">
        <v>64.7</v>
      </c>
      <c r="G22" s="160">
        <v>63.8</v>
      </c>
      <c r="H22" s="160">
        <v>67.3</v>
      </c>
      <c r="I22" s="160">
        <v>61.6</v>
      </c>
      <c r="J22" s="160">
        <v>93.2</v>
      </c>
      <c r="K22" s="160">
        <v>98.8</v>
      </c>
      <c r="L22" s="160">
        <v>88.4</v>
      </c>
    </row>
    <row r="23" spans="2:12">
      <c r="B23" s="11"/>
      <c r="C23" s="157">
        <v>1996</v>
      </c>
      <c r="D23" s="160">
        <v>64.5</v>
      </c>
      <c r="E23" s="160">
        <v>69.8</v>
      </c>
      <c r="F23" s="160">
        <v>60.6</v>
      </c>
      <c r="G23" s="160">
        <v>61.9</v>
      </c>
      <c r="H23" s="160">
        <v>66</v>
      </c>
      <c r="I23" s="160">
        <v>59</v>
      </c>
      <c r="J23" s="160">
        <v>81.900000000000006</v>
      </c>
      <c r="K23" s="160">
        <v>98.9</v>
      </c>
      <c r="L23" s="160">
        <v>70.099999999999994</v>
      </c>
    </row>
    <row r="24" spans="2:12">
      <c r="B24" s="11"/>
      <c r="C24" s="157">
        <v>1997</v>
      </c>
      <c r="D24" s="160">
        <v>63</v>
      </c>
      <c r="E24" s="160">
        <v>66</v>
      </c>
      <c r="F24" s="160">
        <v>60.3</v>
      </c>
      <c r="G24" s="160">
        <v>60.8</v>
      </c>
      <c r="H24" s="160">
        <v>63.6</v>
      </c>
      <c r="I24" s="160">
        <v>58.1</v>
      </c>
      <c r="J24" s="160">
        <v>79</v>
      </c>
      <c r="K24" s="160">
        <v>85.4</v>
      </c>
      <c r="L24" s="160">
        <v>74.2</v>
      </c>
    </row>
    <row r="25" spans="2:12">
      <c r="B25" s="11"/>
      <c r="C25" s="157">
        <v>1998</v>
      </c>
      <c r="D25" s="160">
        <v>62.2</v>
      </c>
      <c r="E25" s="160">
        <v>63.1</v>
      </c>
      <c r="F25" s="160">
        <v>60.4</v>
      </c>
      <c r="G25" s="160">
        <v>60.2</v>
      </c>
      <c r="H25" s="160">
        <v>60.7</v>
      </c>
      <c r="I25" s="160">
        <v>58.7</v>
      </c>
      <c r="J25" s="160">
        <v>75.099999999999994</v>
      </c>
      <c r="K25" s="160">
        <v>82.2</v>
      </c>
      <c r="L25" s="160">
        <v>69.900000000000006</v>
      </c>
    </row>
    <row r="26" spans="2:12">
      <c r="B26" s="11"/>
      <c r="C26" s="157">
        <v>1999</v>
      </c>
      <c r="D26" s="160">
        <v>64</v>
      </c>
      <c r="E26" s="160">
        <v>65.599999999999994</v>
      </c>
      <c r="F26" s="160">
        <v>62.5</v>
      </c>
      <c r="G26" s="160">
        <v>61.5</v>
      </c>
      <c r="H26" s="160">
        <v>62.5</v>
      </c>
      <c r="I26" s="160">
        <v>60.5</v>
      </c>
      <c r="J26" s="160">
        <v>84.4</v>
      </c>
      <c r="K26" s="160">
        <v>93.8</v>
      </c>
      <c r="L26" s="160">
        <v>77.8</v>
      </c>
    </row>
    <row r="27" spans="2:12">
      <c r="B27" s="11"/>
      <c r="C27" s="157">
        <v>2000</v>
      </c>
      <c r="D27" s="160">
        <v>60.6</v>
      </c>
      <c r="E27" s="160">
        <v>62.5</v>
      </c>
      <c r="F27" s="160">
        <v>58.5</v>
      </c>
      <c r="G27" s="160">
        <v>58.8</v>
      </c>
      <c r="H27" s="160">
        <v>61</v>
      </c>
      <c r="I27" s="160">
        <v>56.6</v>
      </c>
      <c r="J27" s="160">
        <v>73.8</v>
      </c>
      <c r="K27" s="160">
        <v>76.7</v>
      </c>
      <c r="L27" s="160">
        <v>70.400000000000006</v>
      </c>
    </row>
    <row r="28" spans="2:12">
      <c r="B28" s="11"/>
      <c r="C28" s="8">
        <v>2001</v>
      </c>
      <c r="D28" s="160">
        <v>58.4</v>
      </c>
      <c r="E28" s="160">
        <v>60.2</v>
      </c>
      <c r="F28" s="160">
        <v>56.6</v>
      </c>
      <c r="G28" s="160">
        <v>56.5</v>
      </c>
      <c r="H28" s="160">
        <v>58.1</v>
      </c>
      <c r="I28" s="160">
        <v>54.9</v>
      </c>
      <c r="J28" s="160">
        <v>72.599999999999994</v>
      </c>
      <c r="K28" s="160">
        <v>75.7</v>
      </c>
      <c r="L28" s="160">
        <v>68.900000000000006</v>
      </c>
    </row>
    <row r="29" spans="2:12">
      <c r="B29" s="11"/>
      <c r="C29" s="157">
        <v>2002</v>
      </c>
      <c r="D29" s="159">
        <v>58.3</v>
      </c>
      <c r="E29" s="159">
        <v>60.8</v>
      </c>
      <c r="F29" s="159">
        <v>55.9</v>
      </c>
      <c r="G29" s="159">
        <v>56.1</v>
      </c>
      <c r="H29" s="159">
        <v>58.4</v>
      </c>
      <c r="I29" s="159">
        <v>54.1</v>
      </c>
      <c r="J29" s="159">
        <v>74.7</v>
      </c>
      <c r="K29" s="159">
        <v>82.1</v>
      </c>
      <c r="L29" s="159">
        <v>67.7</v>
      </c>
    </row>
    <row r="30" spans="2:12">
      <c r="B30" s="11"/>
      <c r="C30" s="157">
        <v>2003</v>
      </c>
      <c r="D30" s="159">
        <v>53.9</v>
      </c>
      <c r="E30" s="159">
        <v>54.6</v>
      </c>
      <c r="F30" s="159">
        <v>52.8</v>
      </c>
      <c r="G30" s="159">
        <v>51.9</v>
      </c>
      <c r="H30" s="159">
        <v>52.6</v>
      </c>
      <c r="I30" s="159">
        <v>51.1</v>
      </c>
      <c r="J30" s="159">
        <v>67.8</v>
      </c>
      <c r="K30" s="159">
        <v>68.5</v>
      </c>
      <c r="L30" s="159">
        <v>65</v>
      </c>
    </row>
    <row r="31" spans="2:12">
      <c r="B31" s="11"/>
      <c r="C31" s="157">
        <v>2004</v>
      </c>
      <c r="D31" s="159">
        <v>51.9</v>
      </c>
      <c r="E31" s="159">
        <v>51.2</v>
      </c>
      <c r="F31" s="159">
        <v>51.8</v>
      </c>
      <c r="G31" s="159">
        <v>49.7</v>
      </c>
      <c r="H31" s="159">
        <v>48</v>
      </c>
      <c r="I31" s="159">
        <v>50.2</v>
      </c>
      <c r="J31" s="159">
        <v>65.7</v>
      </c>
      <c r="K31" s="159">
        <v>77.3</v>
      </c>
      <c r="L31" s="159">
        <v>58.4</v>
      </c>
    </row>
    <row r="32" spans="2:12">
      <c r="B32" s="11"/>
      <c r="C32" s="157">
        <v>2005</v>
      </c>
      <c r="D32" s="159">
        <v>48.8</v>
      </c>
      <c r="E32" s="159">
        <v>49.5</v>
      </c>
      <c r="F32" s="159">
        <v>47.8</v>
      </c>
      <c r="G32" s="159">
        <v>46.5</v>
      </c>
      <c r="H32" s="159">
        <v>47</v>
      </c>
      <c r="I32" s="159">
        <v>45.6</v>
      </c>
      <c r="J32" s="159">
        <v>64.599999999999994</v>
      </c>
      <c r="K32" s="159">
        <v>69.3</v>
      </c>
      <c r="L32" s="159">
        <v>61.1</v>
      </c>
    </row>
    <row r="33" spans="2:14">
      <c r="B33" s="11"/>
      <c r="C33" s="157">
        <v>2006</v>
      </c>
      <c r="D33" s="159">
        <v>44.9</v>
      </c>
      <c r="E33" s="159">
        <v>45.8</v>
      </c>
      <c r="F33" s="159">
        <v>43.8</v>
      </c>
      <c r="G33" s="159">
        <v>42.7</v>
      </c>
      <c r="H33" s="159">
        <v>43.6</v>
      </c>
      <c r="I33" s="159">
        <v>41.7</v>
      </c>
      <c r="J33" s="159">
        <v>59.2</v>
      </c>
      <c r="K33" s="159">
        <v>63.4</v>
      </c>
      <c r="L33" s="159">
        <v>55.9</v>
      </c>
    </row>
    <row r="34" spans="2:14">
      <c r="B34" s="11"/>
      <c r="C34" s="157">
        <v>2007</v>
      </c>
      <c r="D34" s="159">
        <v>43</v>
      </c>
      <c r="E34" s="159">
        <v>44.4</v>
      </c>
      <c r="F34" s="159">
        <v>41.6</v>
      </c>
      <c r="G34" s="159">
        <v>40.799999999999997</v>
      </c>
      <c r="H34" s="159">
        <v>41.6</v>
      </c>
      <c r="I34" s="159">
        <v>39.799999999999997</v>
      </c>
      <c r="J34" s="159">
        <v>55.7</v>
      </c>
      <c r="K34" s="159">
        <v>63.5</v>
      </c>
      <c r="L34" s="159">
        <v>50</v>
      </c>
    </row>
    <row r="35" spans="2:14">
      <c r="B35" s="11"/>
      <c r="C35" s="157">
        <v>2008</v>
      </c>
      <c r="D35" s="159">
        <v>42.3</v>
      </c>
      <c r="E35" s="159">
        <v>42.6</v>
      </c>
      <c r="F35" s="159">
        <v>41.6</v>
      </c>
      <c r="G35" s="159">
        <v>40.299999999999997</v>
      </c>
      <c r="H35" s="159">
        <v>40.200000000000003</v>
      </c>
      <c r="I35" s="159">
        <v>39.799999999999997</v>
      </c>
      <c r="J35" s="159">
        <v>55</v>
      </c>
      <c r="K35" s="159">
        <v>60.5</v>
      </c>
      <c r="L35" s="159">
        <v>50.9</v>
      </c>
    </row>
    <row r="36" spans="2:14">
      <c r="B36" s="11"/>
      <c r="C36" s="157">
        <v>2009</v>
      </c>
      <c r="D36" s="159">
        <v>39.6</v>
      </c>
      <c r="E36" s="159">
        <v>40</v>
      </c>
      <c r="F36" s="159">
        <v>38.700000000000003</v>
      </c>
      <c r="G36" s="159">
        <v>37.799999999999997</v>
      </c>
      <c r="H36" s="159">
        <v>37.4</v>
      </c>
      <c r="I36" s="159">
        <v>37.4</v>
      </c>
      <c r="J36" s="159">
        <v>51.3</v>
      </c>
      <c r="K36" s="159">
        <v>61.7</v>
      </c>
      <c r="L36" s="159">
        <v>45</v>
      </c>
    </row>
    <row r="37" spans="2:14">
      <c r="B37" s="11"/>
      <c r="C37" s="157">
        <v>2010</v>
      </c>
      <c r="D37" s="159">
        <v>39.4</v>
      </c>
      <c r="E37" s="159">
        <v>39.5</v>
      </c>
      <c r="F37" s="159">
        <v>38.700000000000003</v>
      </c>
      <c r="G37" s="159">
        <v>37.299999999999997</v>
      </c>
      <c r="H37" s="159">
        <v>37.200000000000003</v>
      </c>
      <c r="I37" s="159">
        <v>36.6</v>
      </c>
      <c r="J37" s="159">
        <v>53.9</v>
      </c>
      <c r="K37" s="159">
        <v>56.5</v>
      </c>
      <c r="L37" s="159">
        <v>51.3</v>
      </c>
    </row>
    <row r="38" spans="2:14">
      <c r="B38" s="11"/>
      <c r="C38" s="157">
        <v>2011</v>
      </c>
      <c r="D38" s="159">
        <v>38.700000000000003</v>
      </c>
      <c r="E38" s="159">
        <v>39.200000000000003</v>
      </c>
      <c r="F38" s="159">
        <v>37.9</v>
      </c>
      <c r="G38" s="159">
        <v>37.1</v>
      </c>
      <c r="H38" s="159">
        <v>37.299999999999997</v>
      </c>
      <c r="I38" s="159">
        <v>36.6</v>
      </c>
      <c r="J38" s="159">
        <v>48.5</v>
      </c>
      <c r="K38" s="159">
        <v>54.7</v>
      </c>
      <c r="L38" s="159">
        <v>44</v>
      </c>
    </row>
    <row r="39" spans="2:14">
      <c r="B39" s="11"/>
      <c r="C39" s="157">
        <v>2012</v>
      </c>
      <c r="D39" s="159">
        <v>37.200000000000003</v>
      </c>
      <c r="E39" s="159">
        <v>37.200000000000003</v>
      </c>
      <c r="F39" s="159">
        <v>36.4</v>
      </c>
      <c r="G39" s="159">
        <v>35.200000000000003</v>
      </c>
      <c r="H39" s="159">
        <v>34.799999999999997</v>
      </c>
      <c r="I39" s="159">
        <v>34.799999999999997</v>
      </c>
      <c r="J39" s="159">
        <v>52.6</v>
      </c>
      <c r="K39" s="159">
        <v>58.7</v>
      </c>
      <c r="L39" s="159">
        <v>47.7</v>
      </c>
    </row>
    <row r="40" spans="2:14">
      <c r="B40" s="11"/>
      <c r="C40" s="157">
        <v>2013</v>
      </c>
      <c r="D40" s="159">
        <v>36.299999999999997</v>
      </c>
      <c r="E40" s="159">
        <v>36.5</v>
      </c>
      <c r="F40" s="159">
        <v>35.4</v>
      </c>
      <c r="G40" s="159">
        <v>34.6</v>
      </c>
      <c r="H40" s="159">
        <v>34.700000000000003</v>
      </c>
      <c r="I40" s="159">
        <v>33.9</v>
      </c>
      <c r="J40" s="159">
        <v>48.3</v>
      </c>
      <c r="K40" s="159">
        <v>50.5</v>
      </c>
      <c r="L40" s="159">
        <v>46.1</v>
      </c>
    </row>
    <row r="41" spans="2:14">
      <c r="B41" s="11"/>
      <c r="C41" s="157"/>
      <c r="D41" s="159"/>
      <c r="E41" s="159"/>
      <c r="F41" s="159"/>
      <c r="G41" s="159"/>
      <c r="H41" s="159"/>
      <c r="I41" s="159"/>
      <c r="J41" s="159"/>
      <c r="K41" s="159"/>
      <c r="L41" s="159"/>
    </row>
    <row r="42" spans="2:14">
      <c r="B42" s="64"/>
      <c r="C42" s="163" t="s">
        <v>166</v>
      </c>
      <c r="D42" s="179">
        <v>96.4</v>
      </c>
      <c r="E42" s="179">
        <v>102.4</v>
      </c>
      <c r="F42" s="179">
        <v>91.9</v>
      </c>
      <c r="G42" s="179">
        <v>93.4</v>
      </c>
      <c r="H42" s="179">
        <v>99</v>
      </c>
      <c r="I42" s="179">
        <v>89.2</v>
      </c>
      <c r="J42" s="179">
        <v>129.30000000000001</v>
      </c>
      <c r="K42" s="180">
        <v>142.1</v>
      </c>
      <c r="L42" s="181">
        <v>119.8</v>
      </c>
      <c r="M42" s="182"/>
      <c r="N42" s="147"/>
    </row>
    <row r="43" spans="2:14">
      <c r="B43" s="11"/>
      <c r="C43" s="157" t="s">
        <v>252</v>
      </c>
      <c r="D43" s="46">
        <v>89.7</v>
      </c>
      <c r="E43" s="46">
        <v>94.6</v>
      </c>
      <c r="F43" s="46">
        <v>85.8</v>
      </c>
      <c r="G43" s="46">
        <v>86.9</v>
      </c>
      <c r="H43" s="46">
        <v>91.5</v>
      </c>
      <c r="I43" s="46">
        <v>83.3</v>
      </c>
      <c r="J43" s="46">
        <v>121.2</v>
      </c>
      <c r="K43" s="183">
        <v>132.19999999999999</v>
      </c>
      <c r="L43" s="184">
        <v>112.7</v>
      </c>
      <c r="M43" s="182"/>
      <c r="N43" s="147"/>
    </row>
    <row r="44" spans="2:14">
      <c r="B44" s="11"/>
      <c r="C44" s="157" t="s">
        <v>253</v>
      </c>
      <c r="D44" s="46">
        <v>84.4</v>
      </c>
      <c r="E44" s="46">
        <v>89.2</v>
      </c>
      <c r="F44" s="46">
        <v>80.599999999999994</v>
      </c>
      <c r="G44" s="46">
        <v>81.7</v>
      </c>
      <c r="H44" s="46">
        <v>86.3</v>
      </c>
      <c r="I44" s="46">
        <v>78.2</v>
      </c>
      <c r="J44" s="46">
        <v>113.6</v>
      </c>
      <c r="K44" s="183">
        <v>123.9</v>
      </c>
      <c r="L44" s="184">
        <v>105.9</v>
      </c>
      <c r="M44" s="182"/>
      <c r="N44" s="147"/>
    </row>
    <row r="45" spans="2:14">
      <c r="B45" s="11"/>
      <c r="C45" s="157" t="s">
        <v>254</v>
      </c>
      <c r="D45" s="46">
        <v>81.400000000000006</v>
      </c>
      <c r="E45" s="46">
        <v>86.2</v>
      </c>
      <c r="F45" s="46">
        <v>77.599999999999994</v>
      </c>
      <c r="G45" s="46">
        <v>78.7</v>
      </c>
      <c r="H45" s="46">
        <v>83.5</v>
      </c>
      <c r="I45" s="46">
        <v>75</v>
      </c>
      <c r="J45" s="46">
        <v>110.4</v>
      </c>
      <c r="K45" s="183">
        <v>118.2</v>
      </c>
      <c r="L45" s="184">
        <v>104.4</v>
      </c>
      <c r="M45" s="182"/>
      <c r="N45" s="147"/>
    </row>
    <row r="46" spans="2:14">
      <c r="B46" s="11"/>
      <c r="C46" s="157" t="s">
        <v>255</v>
      </c>
      <c r="D46" s="46">
        <v>79</v>
      </c>
      <c r="E46" s="46">
        <v>83.1</v>
      </c>
      <c r="F46" s="46">
        <v>75.599999999999994</v>
      </c>
      <c r="G46" s="46">
        <v>76.400000000000006</v>
      </c>
      <c r="H46" s="46">
        <v>80.400000000000006</v>
      </c>
      <c r="I46" s="46">
        <v>73.099999999999994</v>
      </c>
      <c r="J46" s="46">
        <v>106.7</v>
      </c>
      <c r="K46" s="183">
        <v>115.1</v>
      </c>
      <c r="L46" s="184">
        <v>100.3</v>
      </c>
      <c r="M46" s="182"/>
      <c r="N46" s="147"/>
    </row>
    <row r="47" spans="2:14" ht="15.75">
      <c r="B47" s="156"/>
      <c r="C47" s="157" t="s">
        <v>256</v>
      </c>
      <c r="D47" s="46">
        <v>76.599999999999994</v>
      </c>
      <c r="E47" s="46">
        <v>80.2</v>
      </c>
      <c r="F47" s="46">
        <v>73.5</v>
      </c>
      <c r="G47" s="46">
        <v>73.900000000000006</v>
      </c>
      <c r="H47" s="46">
        <v>77.400000000000006</v>
      </c>
      <c r="I47" s="46">
        <v>70.900000000000006</v>
      </c>
      <c r="J47" s="46">
        <v>105.4</v>
      </c>
      <c r="K47" s="183">
        <v>112.7</v>
      </c>
      <c r="L47" s="184">
        <v>99.4</v>
      </c>
      <c r="M47" s="182"/>
      <c r="N47" s="147"/>
    </row>
    <row r="48" spans="2:14" ht="15.75">
      <c r="B48" s="165"/>
      <c r="C48" s="157" t="s">
        <v>257</v>
      </c>
      <c r="D48" s="46">
        <v>73.3</v>
      </c>
      <c r="E48" s="46">
        <v>76.7</v>
      </c>
      <c r="F48" s="46">
        <v>70.3</v>
      </c>
      <c r="G48" s="46">
        <v>70.7</v>
      </c>
      <c r="H48" s="46">
        <v>73.7</v>
      </c>
      <c r="I48" s="46">
        <v>68.099999999999994</v>
      </c>
      <c r="J48" s="46">
        <v>100.9</v>
      </c>
      <c r="K48" s="183">
        <v>110.7</v>
      </c>
      <c r="L48" s="184">
        <v>93.5</v>
      </c>
      <c r="M48" s="182"/>
      <c r="N48" s="147"/>
    </row>
    <row r="49" spans="2:14" ht="15.75">
      <c r="B49" s="156" t="s">
        <v>54</v>
      </c>
      <c r="C49" s="157" t="s">
        <v>258</v>
      </c>
      <c r="D49" s="46">
        <v>71.8</v>
      </c>
      <c r="E49" s="46">
        <v>75</v>
      </c>
      <c r="F49" s="46">
        <v>69</v>
      </c>
      <c r="G49" s="46">
        <v>69.2</v>
      </c>
      <c r="H49" s="46">
        <v>72</v>
      </c>
      <c r="I49" s="46">
        <v>66.7</v>
      </c>
      <c r="J49" s="46">
        <v>98.7</v>
      </c>
      <c r="K49" s="183">
        <v>108.3</v>
      </c>
      <c r="L49" s="184">
        <v>91.6</v>
      </c>
      <c r="M49" s="182"/>
      <c r="N49" s="147"/>
    </row>
    <row r="50" spans="2:14" ht="15.75">
      <c r="B50" s="165" t="s">
        <v>55</v>
      </c>
      <c r="C50" s="157" t="s">
        <v>259</v>
      </c>
      <c r="D50" s="46">
        <v>70.8</v>
      </c>
      <c r="E50" s="46">
        <v>74.7</v>
      </c>
      <c r="F50" s="46">
        <v>67.599999999999994</v>
      </c>
      <c r="G50" s="46">
        <v>68</v>
      </c>
      <c r="H50" s="46">
        <v>71.599999999999994</v>
      </c>
      <c r="I50" s="46">
        <v>65</v>
      </c>
      <c r="J50" s="46">
        <v>99.9</v>
      </c>
      <c r="K50" s="183">
        <v>109.6</v>
      </c>
      <c r="L50" s="184">
        <v>92.6</v>
      </c>
      <c r="M50" s="182"/>
      <c r="N50" s="147"/>
    </row>
    <row r="51" spans="2:14">
      <c r="B51" s="11"/>
      <c r="C51" s="157" t="s">
        <v>260</v>
      </c>
      <c r="D51" s="46">
        <v>67.099999999999994</v>
      </c>
      <c r="E51" s="46">
        <v>70.400000000000006</v>
      </c>
      <c r="F51" s="46">
        <v>64.3</v>
      </c>
      <c r="G51" s="46">
        <v>64.3</v>
      </c>
      <c r="H51" s="46">
        <v>67.3</v>
      </c>
      <c r="I51" s="46">
        <v>61.7</v>
      </c>
      <c r="J51" s="46">
        <v>95.8</v>
      </c>
      <c r="K51" s="46">
        <v>104.2</v>
      </c>
      <c r="L51" s="46">
        <v>89.6</v>
      </c>
    </row>
    <row r="52" spans="2:14">
      <c r="B52" s="11"/>
      <c r="C52" s="157" t="s">
        <v>167</v>
      </c>
      <c r="D52" s="46">
        <v>65.5</v>
      </c>
      <c r="E52" s="46">
        <v>68.7</v>
      </c>
      <c r="F52" s="46">
        <v>62.7</v>
      </c>
      <c r="G52" s="46">
        <v>62.9</v>
      </c>
      <c r="H52" s="46">
        <v>65.7</v>
      </c>
      <c r="I52" s="46">
        <v>60.5</v>
      </c>
      <c r="J52" s="46">
        <v>91.7</v>
      </c>
      <c r="K52" s="46">
        <v>102.5</v>
      </c>
      <c r="L52" s="46">
        <v>84</v>
      </c>
    </row>
    <row r="53" spans="2:14">
      <c r="B53" s="11"/>
      <c r="C53" s="157" t="s">
        <v>168</v>
      </c>
      <c r="D53" s="46">
        <v>63.3</v>
      </c>
      <c r="E53" s="46">
        <v>66.599999999999994</v>
      </c>
      <c r="F53" s="46">
        <v>60.5</v>
      </c>
      <c r="G53" s="46">
        <v>60.7</v>
      </c>
      <c r="H53" s="46">
        <v>63.5</v>
      </c>
      <c r="I53" s="46">
        <v>58.3</v>
      </c>
      <c r="J53" s="46">
        <v>89.4</v>
      </c>
      <c r="K53" s="46">
        <v>100.8</v>
      </c>
      <c r="L53" s="46">
        <v>81.400000000000006</v>
      </c>
    </row>
    <row r="54" spans="2:14">
      <c r="B54" s="11"/>
      <c r="C54" s="157">
        <v>1992</v>
      </c>
      <c r="D54" s="46">
        <v>62.1</v>
      </c>
      <c r="E54" s="46">
        <v>65.2</v>
      </c>
      <c r="F54" s="46">
        <v>59.4</v>
      </c>
      <c r="G54" s="46">
        <v>59.8</v>
      </c>
      <c r="H54" s="46">
        <v>62.6</v>
      </c>
      <c r="I54" s="46">
        <v>57.3</v>
      </c>
      <c r="J54" s="46">
        <v>86</v>
      </c>
      <c r="K54" s="46">
        <v>95</v>
      </c>
      <c r="L54" s="46">
        <v>79.400000000000006</v>
      </c>
    </row>
    <row r="55" spans="2:14">
      <c r="B55" s="11"/>
      <c r="C55" s="158" t="s">
        <v>170</v>
      </c>
      <c r="D55" s="99">
        <v>63.2</v>
      </c>
      <c r="E55" s="99">
        <v>66.599999999999994</v>
      </c>
      <c r="F55" s="99">
        <v>60.4</v>
      </c>
      <c r="G55" s="99">
        <v>60.9</v>
      </c>
      <c r="H55" s="99">
        <v>63.9</v>
      </c>
      <c r="I55" s="99">
        <v>58.3</v>
      </c>
      <c r="J55" s="99">
        <v>86.6</v>
      </c>
      <c r="K55" s="99">
        <v>95.9</v>
      </c>
      <c r="L55" s="99">
        <v>79.8</v>
      </c>
    </row>
    <row r="56" spans="2:14">
      <c r="B56" s="166"/>
      <c r="C56" s="157">
        <v>1994</v>
      </c>
      <c r="D56" s="99">
        <v>63.3</v>
      </c>
      <c r="E56" s="184">
        <v>66.3</v>
      </c>
      <c r="F56" s="184">
        <v>60.5</v>
      </c>
      <c r="G56" s="184">
        <v>60.9</v>
      </c>
      <c r="H56" s="184">
        <v>63.4</v>
      </c>
      <c r="I56" s="184">
        <v>58.5</v>
      </c>
      <c r="J56" s="184">
        <v>86.9</v>
      </c>
      <c r="K56" s="184">
        <v>96.1</v>
      </c>
      <c r="L56" s="184">
        <v>79.900000000000006</v>
      </c>
    </row>
    <row r="57" spans="2:14" s="14" customFormat="1">
      <c r="B57" s="166"/>
      <c r="C57" s="158" t="s">
        <v>56</v>
      </c>
      <c r="D57" s="99">
        <v>63.9</v>
      </c>
      <c r="E57" s="185">
        <v>66.3</v>
      </c>
      <c r="F57" s="185">
        <v>61.5</v>
      </c>
      <c r="G57" s="185">
        <v>61.5</v>
      </c>
      <c r="H57" s="185">
        <v>63.2</v>
      </c>
      <c r="I57" s="185">
        <v>59.5</v>
      </c>
      <c r="J57" s="185">
        <v>87.9</v>
      </c>
      <c r="K57" s="185">
        <v>96.7</v>
      </c>
      <c r="L57" s="185">
        <v>81</v>
      </c>
    </row>
    <row r="58" spans="2:14">
      <c r="B58" s="166"/>
      <c r="C58" s="158" t="s">
        <v>57</v>
      </c>
      <c r="D58" s="99">
        <v>63.2</v>
      </c>
      <c r="E58" s="185">
        <v>65.3</v>
      </c>
      <c r="F58" s="185">
        <v>60.9</v>
      </c>
      <c r="G58" s="185">
        <v>61</v>
      </c>
      <c r="H58" s="185">
        <v>62.7</v>
      </c>
      <c r="I58" s="185">
        <v>59.1</v>
      </c>
      <c r="J58" s="185">
        <v>85.2</v>
      </c>
      <c r="K58" s="185">
        <v>93.2</v>
      </c>
      <c r="L58" s="185">
        <v>79</v>
      </c>
    </row>
    <row r="59" spans="2:14">
      <c r="B59" s="166"/>
      <c r="C59" s="158" t="s">
        <v>58</v>
      </c>
      <c r="D59" s="99">
        <v>61.8</v>
      </c>
      <c r="E59" s="185">
        <v>63.9</v>
      </c>
      <c r="F59" s="185">
        <v>59.7</v>
      </c>
      <c r="G59" s="185">
        <v>59.8</v>
      </c>
      <c r="H59" s="185">
        <v>61.5</v>
      </c>
      <c r="I59" s="185">
        <v>57.9</v>
      </c>
      <c r="J59" s="185">
        <v>81.599999999999994</v>
      </c>
      <c r="K59" s="185">
        <v>88.5</v>
      </c>
      <c r="L59" s="185">
        <v>76.099999999999994</v>
      </c>
    </row>
    <row r="60" spans="2:14">
      <c r="B60" s="166"/>
      <c r="C60" s="158" t="s">
        <v>59</v>
      </c>
      <c r="D60" s="185">
        <v>59.6</v>
      </c>
      <c r="E60" s="185">
        <v>60.1</v>
      </c>
      <c r="F60" s="185">
        <v>58.3</v>
      </c>
      <c r="G60" s="185">
        <v>57.6</v>
      </c>
      <c r="H60" s="185">
        <v>57.6</v>
      </c>
      <c r="I60" s="185">
        <v>56.6</v>
      </c>
      <c r="J60" s="185">
        <v>80.3</v>
      </c>
      <c r="K60" s="185">
        <v>86.3</v>
      </c>
      <c r="L60" s="185">
        <v>75.3</v>
      </c>
    </row>
    <row r="61" spans="2:14">
      <c r="B61" s="166"/>
      <c r="C61" s="157">
        <v>1999</v>
      </c>
      <c r="D61" s="127">
        <v>61.8</v>
      </c>
      <c r="E61" s="168">
        <v>62.4</v>
      </c>
      <c r="F61" s="168">
        <v>60.5</v>
      </c>
      <c r="G61" s="168">
        <v>59.8</v>
      </c>
      <c r="H61" s="168">
        <v>60</v>
      </c>
      <c r="I61" s="168">
        <v>58.7</v>
      </c>
      <c r="J61" s="168">
        <v>82.4</v>
      </c>
      <c r="K61" s="168">
        <v>87.4</v>
      </c>
      <c r="L61" s="168">
        <v>78.099999999999994</v>
      </c>
    </row>
    <row r="62" spans="2:14">
      <c r="B62" s="166"/>
      <c r="C62" s="8">
        <v>2000</v>
      </c>
      <c r="D62" s="127">
        <v>60.8</v>
      </c>
      <c r="E62" s="127">
        <v>61.1</v>
      </c>
      <c r="F62" s="127">
        <v>59.7</v>
      </c>
      <c r="G62" s="127">
        <v>58.7</v>
      </c>
      <c r="H62" s="127">
        <v>58.6</v>
      </c>
      <c r="I62" s="127">
        <v>57.8</v>
      </c>
      <c r="J62" s="127">
        <v>82.4</v>
      </c>
      <c r="K62" s="127">
        <v>87.1</v>
      </c>
      <c r="L62" s="127">
        <v>78.099999999999994</v>
      </c>
    </row>
    <row r="63" spans="2:14">
      <c r="B63" s="166"/>
      <c r="C63" s="8">
        <v>2001</v>
      </c>
      <c r="D63" s="127">
        <v>57.9</v>
      </c>
      <c r="E63" s="127">
        <v>59</v>
      </c>
      <c r="F63" s="127">
        <v>56.4</v>
      </c>
      <c r="G63" s="127">
        <v>55.8</v>
      </c>
      <c r="H63" s="127">
        <v>56.5</v>
      </c>
      <c r="I63" s="127">
        <v>54.5</v>
      </c>
      <c r="J63" s="127">
        <v>78.8</v>
      </c>
      <c r="K63" s="127">
        <v>85.4</v>
      </c>
      <c r="L63" s="127">
        <v>73.7</v>
      </c>
    </row>
    <row r="64" spans="2:14">
      <c r="B64" s="166"/>
      <c r="C64" s="8">
        <v>2002</v>
      </c>
      <c r="D64" s="127">
        <v>56.2</v>
      </c>
      <c r="E64" s="127">
        <v>56.5</v>
      </c>
      <c r="F64" s="127">
        <v>55.2</v>
      </c>
      <c r="G64" s="127">
        <v>54.2</v>
      </c>
      <c r="H64" s="127">
        <v>54.2</v>
      </c>
      <c r="I64" s="127">
        <v>53.4</v>
      </c>
      <c r="J64" s="127">
        <v>76.3</v>
      </c>
      <c r="K64" s="127">
        <v>81.7</v>
      </c>
      <c r="L64" s="127">
        <v>71.8</v>
      </c>
    </row>
    <row r="65" spans="2:12">
      <c r="B65" s="166"/>
      <c r="C65" s="8">
        <v>2003</v>
      </c>
      <c r="D65" s="127">
        <v>53.5</v>
      </c>
      <c r="E65" s="127">
        <v>54.1</v>
      </c>
      <c r="F65" s="127">
        <v>52.3</v>
      </c>
      <c r="G65" s="127">
        <v>51.4</v>
      </c>
      <c r="H65" s="127">
        <v>51.7</v>
      </c>
      <c r="I65" s="127">
        <v>50.5</v>
      </c>
      <c r="J65" s="127">
        <v>74.3</v>
      </c>
      <c r="K65" s="127">
        <v>79.5</v>
      </c>
      <c r="L65" s="127">
        <v>69.8</v>
      </c>
    </row>
    <row r="66" spans="2:12">
      <c r="B66" s="166"/>
      <c r="C66" s="8">
        <v>2004</v>
      </c>
      <c r="D66" s="127">
        <v>50</v>
      </c>
      <c r="E66" s="127">
        <v>50.4</v>
      </c>
      <c r="F66" s="127">
        <v>48.9</v>
      </c>
      <c r="G66" s="127">
        <v>48</v>
      </c>
      <c r="H66" s="127">
        <v>48.1</v>
      </c>
      <c r="I66" s="127">
        <v>47.2</v>
      </c>
      <c r="J66" s="127">
        <v>69.900000000000006</v>
      </c>
      <c r="K66" s="127">
        <v>74.900000000000006</v>
      </c>
      <c r="L66" s="127">
        <v>65.5</v>
      </c>
    </row>
    <row r="67" spans="2:12">
      <c r="B67" s="166"/>
      <c r="C67" s="8">
        <v>2005</v>
      </c>
      <c r="D67" s="127">
        <v>46.6</v>
      </c>
      <c r="E67" s="127">
        <v>46.9</v>
      </c>
      <c r="F67" s="127">
        <v>45.6</v>
      </c>
      <c r="G67" s="127">
        <v>44.7</v>
      </c>
      <c r="H67" s="127">
        <v>44.7</v>
      </c>
      <c r="I67" s="127">
        <v>44</v>
      </c>
      <c r="J67" s="127">
        <v>65.2</v>
      </c>
      <c r="K67" s="127">
        <v>70.5</v>
      </c>
      <c r="L67" s="127">
        <v>60.7</v>
      </c>
    </row>
    <row r="68" spans="2:12">
      <c r="B68" s="166"/>
      <c r="C68" s="8">
        <v>2006</v>
      </c>
      <c r="D68" s="127">
        <v>43.6</v>
      </c>
      <c r="E68" s="127">
        <v>43.9</v>
      </c>
      <c r="F68" s="127">
        <v>42.6</v>
      </c>
      <c r="G68" s="127">
        <v>41.7</v>
      </c>
      <c r="H68" s="127">
        <v>41.7</v>
      </c>
      <c r="I68" s="127">
        <v>41.1</v>
      </c>
      <c r="J68" s="127">
        <v>61.6</v>
      </c>
      <c r="K68" s="127">
        <v>67.099999999999994</v>
      </c>
      <c r="L68" s="127">
        <v>57</v>
      </c>
    </row>
    <row r="69" spans="2:12">
      <c r="B69" s="166"/>
      <c r="C69" s="8">
        <v>2007</v>
      </c>
      <c r="D69" s="127">
        <v>42.2</v>
      </c>
      <c r="E69" s="127">
        <v>42.5</v>
      </c>
      <c r="F69" s="127">
        <v>41.3</v>
      </c>
      <c r="G69" s="127">
        <v>40.5</v>
      </c>
      <c r="H69" s="127">
        <v>40.200000000000003</v>
      </c>
      <c r="I69" s="127">
        <v>39.9</v>
      </c>
      <c r="J69" s="127">
        <v>60.3</v>
      </c>
      <c r="K69" s="127">
        <v>67.099999999999994</v>
      </c>
      <c r="L69" s="127">
        <v>55</v>
      </c>
    </row>
    <row r="70" spans="2:12">
      <c r="B70" s="166"/>
      <c r="C70" s="8">
        <v>2008</v>
      </c>
      <c r="D70" s="127">
        <v>40.700000000000003</v>
      </c>
      <c r="E70" s="127">
        <v>40.9</v>
      </c>
      <c r="F70" s="127">
        <v>39.9</v>
      </c>
      <c r="G70" s="127">
        <v>39.1</v>
      </c>
      <c r="H70" s="127">
        <v>39</v>
      </c>
      <c r="I70" s="127">
        <v>38.6</v>
      </c>
      <c r="J70" s="127">
        <v>57.4</v>
      </c>
      <c r="K70" s="127">
        <v>62.1</v>
      </c>
      <c r="L70" s="127">
        <v>53.4</v>
      </c>
    </row>
    <row r="71" spans="2:12">
      <c r="B71" s="166"/>
      <c r="C71" s="8">
        <v>2009</v>
      </c>
      <c r="D71" s="127">
        <v>38.9</v>
      </c>
      <c r="E71" s="127">
        <v>39.700000000000003</v>
      </c>
      <c r="F71" s="127">
        <v>37.799999999999997</v>
      </c>
      <c r="G71" s="127">
        <v>37.4</v>
      </c>
      <c r="H71" s="127">
        <v>37.799999999999997</v>
      </c>
      <c r="I71" s="127">
        <v>36.6</v>
      </c>
      <c r="J71" s="127">
        <v>54.5</v>
      </c>
      <c r="K71" s="127">
        <v>60.1</v>
      </c>
      <c r="L71" s="127">
        <v>50.2</v>
      </c>
    </row>
    <row r="72" spans="2:12">
      <c r="B72" s="166"/>
      <c r="C72" s="8">
        <v>2010</v>
      </c>
      <c r="D72" s="127">
        <v>39.1</v>
      </c>
      <c r="E72" s="127">
        <v>39.299999999999997</v>
      </c>
      <c r="F72" s="127">
        <v>38.299999999999997</v>
      </c>
      <c r="G72" s="127">
        <v>37.700000000000003</v>
      </c>
      <c r="H72" s="127">
        <v>37.6</v>
      </c>
      <c r="I72" s="127">
        <v>37.200000000000003</v>
      </c>
      <c r="J72" s="127">
        <v>53</v>
      </c>
      <c r="K72" s="127">
        <v>56.6</v>
      </c>
      <c r="L72" s="127">
        <v>49.6</v>
      </c>
    </row>
    <row r="73" spans="2:12">
      <c r="B73" s="166"/>
      <c r="C73" s="8">
        <v>2011</v>
      </c>
      <c r="D73" s="127">
        <v>37.9</v>
      </c>
      <c r="E73" s="127">
        <v>37.9</v>
      </c>
      <c r="F73" s="127">
        <v>37.200000000000003</v>
      </c>
      <c r="G73" s="127">
        <v>36.5</v>
      </c>
      <c r="H73" s="127">
        <v>36.200000000000003</v>
      </c>
      <c r="I73" s="127">
        <v>36.200000000000003</v>
      </c>
      <c r="J73" s="127">
        <v>50.9</v>
      </c>
      <c r="K73" s="127">
        <v>55.3</v>
      </c>
      <c r="L73" s="127">
        <v>47</v>
      </c>
    </row>
    <row r="74" spans="2:12">
      <c r="B74" s="166"/>
      <c r="C74" s="8">
        <v>2012</v>
      </c>
      <c r="D74" s="127">
        <v>36.9</v>
      </c>
      <c r="E74" s="127">
        <v>37.1</v>
      </c>
      <c r="F74" s="127">
        <v>36.1</v>
      </c>
      <c r="G74" s="127">
        <v>35.6</v>
      </c>
      <c r="H74" s="127">
        <v>35.4</v>
      </c>
      <c r="I74" s="127">
        <v>35.200000000000003</v>
      </c>
      <c r="J74" s="127">
        <v>49.3</v>
      </c>
      <c r="K74" s="127">
        <v>53.8</v>
      </c>
      <c r="L74" s="127">
        <v>45.4</v>
      </c>
    </row>
    <row r="75" spans="2:12">
      <c r="B75" s="171"/>
      <c r="C75" s="6"/>
      <c r="D75" s="175"/>
      <c r="E75" s="175"/>
      <c r="F75" s="175"/>
      <c r="G75" s="175"/>
      <c r="H75" s="175"/>
      <c r="I75" s="175"/>
      <c r="J75" s="175"/>
      <c r="K75" s="175"/>
      <c r="L75" s="175"/>
    </row>
    <row r="76" spans="2:12" ht="27.75" customHeight="1">
      <c r="B76" s="347" t="s">
        <v>613</v>
      </c>
      <c r="C76" s="348"/>
      <c r="D76" s="348"/>
      <c r="E76" s="348"/>
      <c r="F76" s="348"/>
      <c r="G76" s="348"/>
      <c r="H76" s="348"/>
      <c r="I76" s="348"/>
      <c r="J76" s="348"/>
      <c r="K76" s="348"/>
      <c r="L76" s="348"/>
    </row>
    <row r="77" spans="2:12" ht="57.75" customHeight="1">
      <c r="B77" s="347" t="s">
        <v>60</v>
      </c>
      <c r="C77" s="348"/>
      <c r="D77" s="348"/>
      <c r="E77" s="348"/>
      <c r="F77" s="348"/>
      <c r="G77" s="348"/>
      <c r="H77" s="348"/>
      <c r="I77" s="348"/>
      <c r="J77" s="348"/>
      <c r="K77" s="348"/>
      <c r="L77" s="348"/>
    </row>
    <row r="78" spans="2:12" ht="82.5" customHeight="1">
      <c r="B78" s="347" t="s">
        <v>98</v>
      </c>
      <c r="C78" s="348"/>
      <c r="D78" s="348"/>
      <c r="E78" s="348"/>
      <c r="F78" s="348"/>
      <c r="G78" s="348"/>
      <c r="H78" s="348"/>
      <c r="I78" s="348"/>
      <c r="J78" s="348"/>
      <c r="K78" s="348"/>
      <c r="L78" s="348"/>
    </row>
    <row r="79" spans="2:12" ht="30"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102</v>
      </c>
      <c r="C2" s="4"/>
      <c r="D2" s="4"/>
      <c r="E2" s="4"/>
      <c r="F2" s="4"/>
      <c r="G2" s="4"/>
      <c r="H2" s="4"/>
      <c r="I2" s="4"/>
      <c r="J2" s="4"/>
      <c r="K2" s="4"/>
      <c r="L2" s="4"/>
    </row>
    <row r="3" spans="1:12" ht="15.75">
      <c r="B3" s="5" t="s">
        <v>103</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28.5</v>
      </c>
      <c r="E7" s="174">
        <v>49.9</v>
      </c>
      <c r="F7" s="174">
        <v>14.9</v>
      </c>
      <c r="G7" s="174">
        <v>29.1</v>
      </c>
      <c r="H7" s="174">
        <v>51</v>
      </c>
      <c r="I7" s="174">
        <v>15.4</v>
      </c>
      <c r="J7" s="174">
        <v>21.8</v>
      </c>
      <c r="K7" s="174">
        <v>38.799999999999997</v>
      </c>
      <c r="L7" s="174">
        <v>9.3000000000000007</v>
      </c>
    </row>
    <row r="8" spans="1:12">
      <c r="B8" s="11"/>
      <c r="C8" s="157" t="s">
        <v>252</v>
      </c>
      <c r="D8" s="160">
        <v>30.1</v>
      </c>
      <c r="E8" s="160">
        <v>53.4</v>
      </c>
      <c r="F8" s="160">
        <v>15.8</v>
      </c>
      <c r="G8" s="160">
        <v>30.7</v>
      </c>
      <c r="H8" s="160">
        <v>54.4</v>
      </c>
      <c r="I8" s="160">
        <v>16.100000000000001</v>
      </c>
      <c r="J8" s="160">
        <v>24.3</v>
      </c>
      <c r="K8" s="160">
        <v>44.2</v>
      </c>
      <c r="L8" s="160">
        <v>11.4</v>
      </c>
    </row>
    <row r="9" spans="1:12">
      <c r="B9" s="11"/>
      <c r="C9" s="157" t="s">
        <v>253</v>
      </c>
      <c r="D9" s="160">
        <v>29.8</v>
      </c>
      <c r="E9" s="160">
        <v>51.2</v>
      </c>
      <c r="F9" s="160">
        <v>16.8</v>
      </c>
      <c r="G9" s="160">
        <v>30.4</v>
      </c>
      <c r="H9" s="160">
        <v>52.2</v>
      </c>
      <c r="I9" s="160">
        <v>17.3</v>
      </c>
      <c r="J9" s="160">
        <v>22.5</v>
      </c>
      <c r="K9" s="160">
        <v>40.1</v>
      </c>
      <c r="L9" s="160">
        <v>10.6</v>
      </c>
    </row>
    <row r="10" spans="1:12">
      <c r="B10" s="11"/>
      <c r="C10" s="157" t="s">
        <v>254</v>
      </c>
      <c r="D10" s="160">
        <v>32.6</v>
      </c>
      <c r="E10" s="160">
        <v>55.2</v>
      </c>
      <c r="F10" s="160">
        <v>19.399999999999999</v>
      </c>
      <c r="G10" s="160">
        <v>33</v>
      </c>
      <c r="H10" s="160">
        <v>55.8</v>
      </c>
      <c r="I10" s="160">
        <v>19.899999999999999</v>
      </c>
      <c r="J10" s="160">
        <v>28</v>
      </c>
      <c r="K10" s="160">
        <v>48.3</v>
      </c>
      <c r="L10" s="160">
        <v>14.3</v>
      </c>
    </row>
    <row r="11" spans="1:12">
      <c r="B11" s="11"/>
      <c r="C11" s="157" t="s">
        <v>255</v>
      </c>
      <c r="D11" s="160">
        <v>32.4</v>
      </c>
      <c r="E11" s="160">
        <v>55</v>
      </c>
      <c r="F11" s="160">
        <v>18.8</v>
      </c>
      <c r="G11" s="160">
        <v>33.1</v>
      </c>
      <c r="H11" s="160">
        <v>56.2</v>
      </c>
      <c r="I11" s="160">
        <v>19.399999999999999</v>
      </c>
      <c r="J11" s="160">
        <v>24.5</v>
      </c>
      <c r="K11" s="160">
        <v>43.3</v>
      </c>
      <c r="L11" s="160">
        <v>12.1</v>
      </c>
    </row>
    <row r="12" spans="1:12" ht="15.75">
      <c r="B12" s="156"/>
      <c r="C12" s="157" t="s">
        <v>256</v>
      </c>
      <c r="D12" s="160">
        <v>35.5</v>
      </c>
      <c r="E12" s="160">
        <v>59.1</v>
      </c>
      <c r="F12" s="160">
        <v>21.4</v>
      </c>
      <c r="G12" s="160">
        <v>35.9</v>
      </c>
      <c r="H12" s="160">
        <v>59.9</v>
      </c>
      <c r="I12" s="160">
        <v>21.9</v>
      </c>
      <c r="J12" s="160">
        <v>31.7</v>
      </c>
      <c r="K12" s="160">
        <v>53.6</v>
      </c>
      <c r="L12" s="160">
        <v>17.399999999999999</v>
      </c>
    </row>
    <row r="13" spans="1:12">
      <c r="B13" s="11"/>
      <c r="C13" s="157" t="s">
        <v>257</v>
      </c>
      <c r="D13" s="160">
        <v>36.5</v>
      </c>
      <c r="E13" s="160">
        <v>60</v>
      </c>
      <c r="F13" s="160">
        <v>22.8</v>
      </c>
      <c r="G13" s="160">
        <v>37.299999999999997</v>
      </c>
      <c r="H13" s="160">
        <v>61.2</v>
      </c>
      <c r="I13" s="160">
        <v>23.6</v>
      </c>
      <c r="J13" s="160">
        <v>27.5</v>
      </c>
      <c r="K13" s="160">
        <v>47.1</v>
      </c>
      <c r="L13" s="160">
        <v>14.6</v>
      </c>
    </row>
    <row r="14" spans="1:12">
      <c r="B14" s="11"/>
      <c r="C14" s="157" t="s">
        <v>258</v>
      </c>
      <c r="D14" s="160">
        <v>36</v>
      </c>
      <c r="E14" s="160">
        <v>56.6</v>
      </c>
      <c r="F14" s="160">
        <v>24.3</v>
      </c>
      <c r="G14" s="160">
        <v>36.700000000000003</v>
      </c>
      <c r="H14" s="160">
        <v>57</v>
      </c>
      <c r="I14" s="160">
        <v>25.2</v>
      </c>
      <c r="J14" s="160">
        <v>29.7</v>
      </c>
      <c r="K14" s="160">
        <v>52.3</v>
      </c>
      <c r="L14" s="160">
        <v>16.2</v>
      </c>
    </row>
    <row r="15" spans="1:12" ht="15.75">
      <c r="B15" s="156" t="s">
        <v>52</v>
      </c>
      <c r="C15" s="157" t="s">
        <v>259</v>
      </c>
      <c r="D15" s="160">
        <v>35.700000000000003</v>
      </c>
      <c r="E15" s="160">
        <v>56</v>
      </c>
      <c r="F15" s="160">
        <v>23.7</v>
      </c>
      <c r="G15" s="160">
        <v>36.799999999999997</v>
      </c>
      <c r="H15" s="160">
        <v>57.4</v>
      </c>
      <c r="I15" s="160">
        <v>24.8</v>
      </c>
      <c r="J15" s="160">
        <v>26.5</v>
      </c>
      <c r="K15" s="160">
        <v>44.9</v>
      </c>
      <c r="L15" s="160">
        <v>14.5</v>
      </c>
    </row>
    <row r="16" spans="1:12">
      <c r="B16" s="11"/>
      <c r="C16" s="157" t="s">
        <v>260</v>
      </c>
      <c r="D16" s="160">
        <v>34.700000000000003</v>
      </c>
      <c r="E16" s="160">
        <v>52.7</v>
      </c>
      <c r="F16" s="160">
        <v>24.5</v>
      </c>
      <c r="G16" s="160">
        <v>35.299999999999997</v>
      </c>
      <c r="H16" s="160">
        <v>53.4</v>
      </c>
      <c r="I16" s="160">
        <v>25.1</v>
      </c>
      <c r="J16" s="160">
        <v>28</v>
      </c>
      <c r="K16" s="160">
        <v>46.5</v>
      </c>
      <c r="L16" s="160">
        <v>16.7</v>
      </c>
    </row>
    <row r="17" spans="2:12">
      <c r="B17" s="11"/>
      <c r="C17" s="157" t="s">
        <v>167</v>
      </c>
      <c r="D17" s="160">
        <v>35.9</v>
      </c>
      <c r="E17" s="160">
        <v>52.9</v>
      </c>
      <c r="F17" s="160">
        <v>26.1</v>
      </c>
      <c r="G17" s="160">
        <v>36.799999999999997</v>
      </c>
      <c r="H17" s="160">
        <v>54</v>
      </c>
      <c r="I17" s="160">
        <v>27</v>
      </c>
      <c r="J17" s="160">
        <v>26.8</v>
      </c>
      <c r="K17" s="160">
        <v>42.1</v>
      </c>
      <c r="L17" s="160">
        <v>16.8</v>
      </c>
    </row>
    <row r="18" spans="2:12">
      <c r="B18" s="11"/>
      <c r="C18" s="157" t="s">
        <v>168</v>
      </c>
      <c r="D18" s="160">
        <v>36.799999999999997</v>
      </c>
      <c r="E18" s="160">
        <v>53.8</v>
      </c>
      <c r="F18" s="160">
        <v>27.2</v>
      </c>
      <c r="G18" s="160">
        <v>37.700000000000003</v>
      </c>
      <c r="H18" s="160">
        <v>55.1</v>
      </c>
      <c r="I18" s="160">
        <v>28</v>
      </c>
      <c r="J18" s="160">
        <v>27.8</v>
      </c>
      <c r="K18" s="160">
        <v>43.2</v>
      </c>
      <c r="L18" s="160">
        <v>18.2</v>
      </c>
    </row>
    <row r="19" spans="2:12">
      <c r="B19" s="11"/>
      <c r="C19" s="157" t="s">
        <v>169</v>
      </c>
      <c r="D19" s="160">
        <v>35.5</v>
      </c>
      <c r="E19" s="160">
        <v>52.7</v>
      </c>
      <c r="F19" s="160">
        <v>25.7</v>
      </c>
      <c r="G19" s="160">
        <v>36.200000000000003</v>
      </c>
      <c r="H19" s="160">
        <v>53.9</v>
      </c>
      <c r="I19" s="160">
        <v>26.3</v>
      </c>
      <c r="J19" s="160">
        <v>27.7</v>
      </c>
      <c r="K19" s="160">
        <v>42.1</v>
      </c>
      <c r="L19" s="160">
        <v>18.600000000000001</v>
      </c>
    </row>
    <row r="20" spans="2:12">
      <c r="B20" s="11"/>
      <c r="C20" s="157" t="s">
        <v>170</v>
      </c>
      <c r="D20" s="160">
        <v>39.200000000000003</v>
      </c>
      <c r="E20" s="160">
        <v>55.7</v>
      </c>
      <c r="F20" s="160">
        <v>29.8</v>
      </c>
      <c r="G20" s="160">
        <v>39.5</v>
      </c>
      <c r="H20" s="160">
        <v>55.7</v>
      </c>
      <c r="I20" s="160">
        <v>30.5</v>
      </c>
      <c r="J20" s="160">
        <v>33.700000000000003</v>
      </c>
      <c r="K20" s="160">
        <v>52</v>
      </c>
      <c r="L20" s="160">
        <v>22.2</v>
      </c>
    </row>
    <row r="21" spans="2:12">
      <c r="B21" s="11"/>
      <c r="C21" s="157">
        <v>1994</v>
      </c>
      <c r="D21" s="160">
        <v>38.6</v>
      </c>
      <c r="E21" s="160">
        <v>53.7</v>
      </c>
      <c r="F21" s="160">
        <v>30.6</v>
      </c>
      <c r="G21" s="160">
        <v>39.299999999999997</v>
      </c>
      <c r="H21" s="160">
        <v>54.2</v>
      </c>
      <c r="I21" s="160">
        <v>31.4</v>
      </c>
      <c r="J21" s="160">
        <v>31.8</v>
      </c>
      <c r="K21" s="160">
        <v>48.5</v>
      </c>
      <c r="L21" s="160">
        <v>21.9</v>
      </c>
    </row>
    <row r="22" spans="2:12" s="14" customFormat="1">
      <c r="B22" s="11"/>
      <c r="C22" s="157">
        <v>1995</v>
      </c>
      <c r="D22" s="160">
        <v>39.700000000000003</v>
      </c>
      <c r="E22" s="160">
        <v>54.9</v>
      </c>
      <c r="F22" s="160">
        <v>31.4</v>
      </c>
      <c r="G22" s="160">
        <v>40.5</v>
      </c>
      <c r="H22" s="160">
        <v>56.1</v>
      </c>
      <c r="I22" s="160">
        <v>32.200000000000003</v>
      </c>
      <c r="J22" s="160">
        <v>29.6</v>
      </c>
      <c r="K22" s="160">
        <v>42.2</v>
      </c>
      <c r="L22" s="160">
        <v>22.1</v>
      </c>
    </row>
    <row r="23" spans="2:12">
      <c r="B23" s="11"/>
      <c r="C23" s="157">
        <v>1996</v>
      </c>
      <c r="D23" s="160">
        <v>39.9</v>
      </c>
      <c r="E23" s="160">
        <v>53.6</v>
      </c>
      <c r="F23" s="160">
        <v>32.299999999999997</v>
      </c>
      <c r="G23" s="160">
        <v>40.9</v>
      </c>
      <c r="H23" s="160">
        <v>54.7</v>
      </c>
      <c r="I23" s="160">
        <v>33.4</v>
      </c>
      <c r="J23" s="160">
        <v>29.3</v>
      </c>
      <c r="K23" s="160">
        <v>43.1</v>
      </c>
      <c r="L23" s="160">
        <v>21</v>
      </c>
    </row>
    <row r="24" spans="2:12">
      <c r="B24" s="11"/>
      <c r="C24" s="157">
        <v>1997</v>
      </c>
      <c r="D24" s="160">
        <v>38.9</v>
      </c>
      <c r="E24" s="160">
        <v>54.1</v>
      </c>
      <c r="F24" s="160">
        <v>30.4</v>
      </c>
      <c r="G24" s="160">
        <v>40.5</v>
      </c>
      <c r="H24" s="160">
        <v>55.8</v>
      </c>
      <c r="I24" s="160">
        <v>31.8</v>
      </c>
      <c r="J24" s="160">
        <v>24.8</v>
      </c>
      <c r="K24" s="160">
        <v>38.1</v>
      </c>
      <c r="L24" s="160">
        <v>17.3</v>
      </c>
    </row>
    <row r="25" spans="2:12">
      <c r="B25" s="11"/>
      <c r="C25" s="157">
        <v>1998</v>
      </c>
      <c r="D25" s="160">
        <v>40.299999999999997</v>
      </c>
      <c r="E25" s="160">
        <v>52.4</v>
      </c>
      <c r="F25" s="160">
        <v>33.299999999999997</v>
      </c>
      <c r="G25" s="160">
        <v>41.2</v>
      </c>
      <c r="H25" s="160">
        <v>53.3</v>
      </c>
      <c r="I25" s="160">
        <v>34.4</v>
      </c>
      <c r="J25" s="160">
        <v>30.1</v>
      </c>
      <c r="K25" s="160">
        <v>42.9</v>
      </c>
      <c r="L25" s="160">
        <v>22</v>
      </c>
    </row>
    <row r="26" spans="2:12">
      <c r="B26" s="11"/>
      <c r="C26" s="157">
        <v>1999</v>
      </c>
      <c r="D26" s="160">
        <v>45</v>
      </c>
      <c r="E26" s="160">
        <v>58</v>
      </c>
      <c r="F26" s="160">
        <v>37.799999999999997</v>
      </c>
      <c r="G26" s="160">
        <v>45.7</v>
      </c>
      <c r="H26" s="160">
        <v>58.4</v>
      </c>
      <c r="I26" s="160">
        <v>38.9</v>
      </c>
      <c r="J26" s="160">
        <v>36.6</v>
      </c>
      <c r="K26" s="160">
        <v>52.5</v>
      </c>
      <c r="L26" s="160">
        <v>27.6</v>
      </c>
    </row>
    <row r="27" spans="2:12">
      <c r="B27" s="11"/>
      <c r="C27" s="157">
        <v>2000</v>
      </c>
      <c r="D27" s="160">
        <v>45</v>
      </c>
      <c r="E27" s="160">
        <v>55.5</v>
      </c>
      <c r="F27" s="160">
        <v>39.4</v>
      </c>
      <c r="G27" s="160">
        <v>46.4</v>
      </c>
      <c r="H27" s="160">
        <v>56.8</v>
      </c>
      <c r="I27" s="160">
        <v>41</v>
      </c>
      <c r="J27" s="160">
        <v>31.6</v>
      </c>
      <c r="K27" s="160">
        <v>41.9</v>
      </c>
      <c r="L27" s="160">
        <v>25.2</v>
      </c>
    </row>
    <row r="28" spans="2:12">
      <c r="B28" s="11"/>
      <c r="C28" s="8">
        <v>2001</v>
      </c>
      <c r="D28" s="160">
        <v>42.4</v>
      </c>
      <c r="E28" s="160">
        <v>53.4</v>
      </c>
      <c r="F28" s="160">
        <v>35.9</v>
      </c>
      <c r="G28" s="160">
        <v>43.6</v>
      </c>
      <c r="H28" s="160">
        <v>54.4</v>
      </c>
      <c r="I28" s="160">
        <v>37.4</v>
      </c>
      <c r="J28" s="160">
        <v>30.6</v>
      </c>
      <c r="K28" s="160">
        <v>43</v>
      </c>
      <c r="L28" s="160">
        <v>23.4</v>
      </c>
    </row>
    <row r="29" spans="2:12">
      <c r="B29" s="11"/>
      <c r="C29" s="157">
        <v>2002</v>
      </c>
      <c r="D29" s="159">
        <v>44.4</v>
      </c>
      <c r="E29" s="159">
        <v>55.1</v>
      </c>
      <c r="F29" s="159">
        <v>38.6</v>
      </c>
      <c r="G29" s="159">
        <v>45.6</v>
      </c>
      <c r="H29" s="159">
        <v>55.9</v>
      </c>
      <c r="I29" s="159">
        <v>40.200000000000003</v>
      </c>
      <c r="J29" s="159">
        <v>32.700000000000003</v>
      </c>
      <c r="K29" s="159">
        <v>46.7</v>
      </c>
      <c r="L29" s="159">
        <v>24.5</v>
      </c>
    </row>
    <row r="30" spans="2:12">
      <c r="B30" s="11"/>
      <c r="C30" s="157">
        <v>2003</v>
      </c>
      <c r="D30" s="159">
        <v>44.1</v>
      </c>
      <c r="E30" s="159">
        <v>54.3</v>
      </c>
      <c r="F30" s="159">
        <v>38.200000000000003</v>
      </c>
      <c r="G30" s="159">
        <v>45.8</v>
      </c>
      <c r="H30" s="159">
        <v>55.4</v>
      </c>
      <c r="I30" s="159">
        <v>40.299999999999997</v>
      </c>
      <c r="J30" s="159">
        <v>29.2</v>
      </c>
      <c r="K30" s="159">
        <v>43.1</v>
      </c>
      <c r="L30" s="159">
        <v>20.8</v>
      </c>
    </row>
    <row r="31" spans="2:12">
      <c r="B31" s="11"/>
      <c r="C31" s="157">
        <v>2004</v>
      </c>
      <c r="D31" s="159">
        <v>41.7</v>
      </c>
      <c r="E31" s="159">
        <v>50.6</v>
      </c>
      <c r="F31" s="159">
        <v>36.5</v>
      </c>
      <c r="G31" s="159">
        <v>43.1</v>
      </c>
      <c r="H31" s="159">
        <v>51.2</v>
      </c>
      <c r="I31" s="159">
        <v>38.4</v>
      </c>
      <c r="J31" s="159">
        <v>27.3</v>
      </c>
      <c r="K31" s="159">
        <v>40.5</v>
      </c>
      <c r="L31" s="159">
        <v>19.3</v>
      </c>
    </row>
    <row r="32" spans="2:12">
      <c r="B32" s="11"/>
      <c r="C32" s="157">
        <v>2005</v>
      </c>
      <c r="D32" s="159">
        <v>43.4</v>
      </c>
      <c r="E32" s="159">
        <v>51</v>
      </c>
      <c r="F32" s="159">
        <v>39.1</v>
      </c>
      <c r="G32" s="159">
        <v>44.9</v>
      </c>
      <c r="H32" s="159">
        <v>52.5</v>
      </c>
      <c r="I32" s="159">
        <v>40.799999999999997</v>
      </c>
      <c r="J32" s="159">
        <v>29.4</v>
      </c>
      <c r="K32" s="159">
        <v>37</v>
      </c>
      <c r="L32" s="159">
        <v>25</v>
      </c>
    </row>
    <row r="33" spans="2:13">
      <c r="B33" s="11"/>
      <c r="C33" s="157">
        <v>2006</v>
      </c>
      <c r="D33" s="159">
        <v>42.8</v>
      </c>
      <c r="E33" s="159">
        <v>51</v>
      </c>
      <c r="F33" s="159">
        <v>37.9</v>
      </c>
      <c r="G33" s="159">
        <v>44.5</v>
      </c>
      <c r="H33" s="159">
        <v>52.3</v>
      </c>
      <c r="I33" s="159">
        <v>40</v>
      </c>
      <c r="J33" s="159">
        <v>27.7</v>
      </c>
      <c r="K33" s="159">
        <v>38.700000000000003</v>
      </c>
      <c r="L33" s="159">
        <v>21.3</v>
      </c>
    </row>
    <row r="34" spans="2:13">
      <c r="B34" s="11"/>
      <c r="C34" s="157">
        <v>2007</v>
      </c>
      <c r="D34" s="159">
        <v>43.3</v>
      </c>
      <c r="E34" s="159">
        <v>52.3</v>
      </c>
      <c r="F34" s="159">
        <v>37.9</v>
      </c>
      <c r="G34" s="159">
        <v>44.5</v>
      </c>
      <c r="H34" s="159">
        <v>52.9</v>
      </c>
      <c r="I34" s="159">
        <v>39.4</v>
      </c>
      <c r="J34" s="159">
        <v>33.1</v>
      </c>
      <c r="K34" s="159">
        <v>46.1</v>
      </c>
      <c r="L34" s="159">
        <v>24.7</v>
      </c>
    </row>
    <row r="35" spans="2:13">
      <c r="B35" s="11"/>
      <c r="C35" s="157">
        <v>2008</v>
      </c>
      <c r="D35" s="159">
        <v>47.6</v>
      </c>
      <c r="E35" s="159">
        <v>55.5</v>
      </c>
      <c r="F35" s="159">
        <v>42.9</v>
      </c>
      <c r="G35" s="159">
        <v>49.3</v>
      </c>
      <c r="H35" s="159">
        <v>57</v>
      </c>
      <c r="I35" s="159">
        <v>44.7</v>
      </c>
      <c r="J35" s="159">
        <v>34</v>
      </c>
      <c r="K35" s="159">
        <v>42.8</v>
      </c>
      <c r="L35" s="159">
        <v>28.7</v>
      </c>
    </row>
    <row r="36" spans="2:13">
      <c r="B36" s="11"/>
      <c r="C36" s="157">
        <v>2009</v>
      </c>
      <c r="D36" s="159">
        <v>44.8</v>
      </c>
      <c r="E36" s="159">
        <v>52.2</v>
      </c>
      <c r="F36" s="159">
        <v>40.200000000000003</v>
      </c>
      <c r="G36" s="159">
        <v>46.7</v>
      </c>
      <c r="H36" s="159">
        <v>53.8</v>
      </c>
      <c r="I36" s="159">
        <v>42.1</v>
      </c>
      <c r="J36" s="159">
        <v>28.7</v>
      </c>
      <c r="K36" s="159">
        <v>37.200000000000003</v>
      </c>
      <c r="L36" s="159">
        <v>23.9</v>
      </c>
    </row>
    <row r="37" spans="2:13">
      <c r="B37" s="11"/>
      <c r="C37" s="157">
        <v>2010</v>
      </c>
      <c r="D37" s="159">
        <v>45.5</v>
      </c>
      <c r="E37" s="159">
        <v>53.3</v>
      </c>
      <c r="F37" s="159">
        <v>40.5</v>
      </c>
      <c r="G37" s="159">
        <v>46.8</v>
      </c>
      <c r="H37" s="159">
        <v>54.1</v>
      </c>
      <c r="I37" s="159">
        <v>42.2</v>
      </c>
      <c r="J37" s="159">
        <v>33.4</v>
      </c>
      <c r="K37" s="159">
        <v>45.6</v>
      </c>
      <c r="L37" s="159">
        <v>26</v>
      </c>
    </row>
    <row r="38" spans="2:13">
      <c r="B38" s="11"/>
      <c r="C38" s="157">
        <v>2011</v>
      </c>
      <c r="D38" s="159">
        <v>46</v>
      </c>
      <c r="E38" s="159">
        <v>53.5</v>
      </c>
      <c r="F38" s="159">
        <v>41.4</v>
      </c>
      <c r="G38" s="159">
        <v>47.3</v>
      </c>
      <c r="H38" s="159">
        <v>54.1</v>
      </c>
      <c r="I38" s="159">
        <v>43.2</v>
      </c>
      <c r="J38" s="159">
        <v>34.700000000000003</v>
      </c>
      <c r="K38" s="159">
        <v>47.3</v>
      </c>
      <c r="L38" s="159">
        <v>27.4</v>
      </c>
    </row>
    <row r="39" spans="2:13">
      <c r="B39" s="11"/>
      <c r="C39" s="157">
        <v>2012</v>
      </c>
      <c r="D39" s="159">
        <v>45.2</v>
      </c>
      <c r="E39" s="159">
        <v>51.5</v>
      </c>
      <c r="F39" s="159">
        <v>41.1</v>
      </c>
      <c r="G39" s="159">
        <v>47.1</v>
      </c>
      <c r="H39" s="159">
        <v>52.7</v>
      </c>
      <c r="I39" s="159">
        <v>43.6</v>
      </c>
      <c r="J39" s="159">
        <v>30.5</v>
      </c>
      <c r="K39" s="159">
        <v>39.6</v>
      </c>
      <c r="L39" s="159">
        <v>24.5</v>
      </c>
    </row>
    <row r="40" spans="2:13">
      <c r="B40" s="11"/>
      <c r="C40" s="157">
        <v>2013</v>
      </c>
      <c r="D40" s="159">
        <v>46.8</v>
      </c>
      <c r="E40" s="159">
        <v>52.5</v>
      </c>
      <c r="F40" s="159">
        <v>43</v>
      </c>
      <c r="G40" s="159">
        <v>48.6</v>
      </c>
      <c r="H40" s="159">
        <v>53.5</v>
      </c>
      <c r="I40" s="159">
        <v>45.4</v>
      </c>
      <c r="J40" s="159">
        <v>31.7</v>
      </c>
      <c r="K40" s="159">
        <v>44.3</v>
      </c>
      <c r="L40" s="159">
        <v>23.8</v>
      </c>
    </row>
    <row r="41" spans="2:13">
      <c r="B41" s="11"/>
      <c r="C41" s="157"/>
      <c r="D41" s="159"/>
      <c r="E41" s="159"/>
      <c r="F41" s="159"/>
      <c r="G41" s="159"/>
      <c r="H41" s="159"/>
      <c r="I41" s="159"/>
      <c r="J41" s="159"/>
      <c r="K41" s="159"/>
      <c r="L41" s="159"/>
    </row>
    <row r="42" spans="2:13">
      <c r="B42" s="64"/>
      <c r="C42" s="163" t="s">
        <v>166</v>
      </c>
      <c r="D42" s="164">
        <v>28.3</v>
      </c>
      <c r="E42" s="164">
        <v>49.9</v>
      </c>
      <c r="F42" s="164">
        <v>14.9</v>
      </c>
      <c r="G42" s="164">
        <v>29.3</v>
      </c>
      <c r="H42" s="164">
        <v>51.6</v>
      </c>
      <c r="I42" s="164">
        <v>15.5</v>
      </c>
      <c r="J42" s="189">
        <v>19.2</v>
      </c>
      <c r="K42" s="176">
        <v>34</v>
      </c>
      <c r="L42" s="189">
        <v>9.1</v>
      </c>
      <c r="M42" s="182"/>
    </row>
    <row r="43" spans="2:13">
      <c r="B43" s="11"/>
      <c r="C43" s="157" t="s">
        <v>252</v>
      </c>
      <c r="D43" s="48">
        <v>29</v>
      </c>
      <c r="E43" s="48">
        <v>50.4</v>
      </c>
      <c r="F43" s="48">
        <v>15.9</v>
      </c>
      <c r="G43" s="48">
        <v>30</v>
      </c>
      <c r="H43" s="48">
        <v>52.1</v>
      </c>
      <c r="I43" s="48">
        <v>16.600000000000001</v>
      </c>
      <c r="J43" s="190">
        <v>19.600000000000001</v>
      </c>
      <c r="K43" s="178">
        <v>35.200000000000003</v>
      </c>
      <c r="L43" s="190">
        <v>9.1999999999999993</v>
      </c>
      <c r="M43" s="182"/>
    </row>
    <row r="44" spans="2:13">
      <c r="B44" s="11"/>
      <c r="C44" s="157" t="s">
        <v>253</v>
      </c>
      <c r="D44" s="48">
        <v>29.1</v>
      </c>
      <c r="E44" s="48">
        <v>49.6</v>
      </c>
      <c r="F44" s="48">
        <v>16.5</v>
      </c>
      <c r="G44" s="48">
        <v>30</v>
      </c>
      <c r="H44" s="48">
        <v>51.5</v>
      </c>
      <c r="I44" s="48">
        <v>17.100000000000001</v>
      </c>
      <c r="J44" s="190">
        <v>19.7</v>
      </c>
      <c r="K44" s="178">
        <v>33.6</v>
      </c>
      <c r="L44" s="190">
        <v>10.5</v>
      </c>
      <c r="M44" s="182"/>
    </row>
    <row r="45" spans="2:13">
      <c r="B45" s="11"/>
      <c r="C45" s="157" t="s">
        <v>254</v>
      </c>
      <c r="D45" s="48">
        <v>31.6</v>
      </c>
      <c r="E45" s="48">
        <v>53.3</v>
      </c>
      <c r="F45" s="48">
        <v>18.5</v>
      </c>
      <c r="G45" s="48">
        <v>32.6</v>
      </c>
      <c r="H45" s="48">
        <v>55</v>
      </c>
      <c r="I45" s="48">
        <v>19.2</v>
      </c>
      <c r="J45" s="190">
        <v>22</v>
      </c>
      <c r="K45" s="178">
        <v>38.1</v>
      </c>
      <c r="L45" s="190">
        <v>11.5</v>
      </c>
      <c r="M45" s="182"/>
    </row>
    <row r="46" spans="2:13">
      <c r="B46" s="11"/>
      <c r="C46" s="157" t="s">
        <v>255</v>
      </c>
      <c r="D46" s="48">
        <v>32.4</v>
      </c>
      <c r="E46" s="159">
        <v>53.7</v>
      </c>
      <c r="F46" s="48">
        <v>19.7</v>
      </c>
      <c r="G46" s="48">
        <v>33.4</v>
      </c>
      <c r="H46" s="159">
        <v>55.3</v>
      </c>
      <c r="I46" s="48">
        <v>20.5</v>
      </c>
      <c r="J46" s="190">
        <v>23</v>
      </c>
      <c r="K46" s="178">
        <v>39.5</v>
      </c>
      <c r="L46" s="190">
        <v>12.3</v>
      </c>
      <c r="M46" s="182"/>
    </row>
    <row r="47" spans="2:13" ht="15.75">
      <c r="B47" s="156"/>
      <c r="C47" s="157" t="s">
        <v>256</v>
      </c>
      <c r="D47" s="48">
        <v>34.5</v>
      </c>
      <c r="E47" s="48">
        <v>56.2</v>
      </c>
      <c r="F47" s="48">
        <v>21.7</v>
      </c>
      <c r="G47" s="48">
        <v>35.6</v>
      </c>
      <c r="H47" s="48">
        <v>57.9</v>
      </c>
      <c r="I47" s="48">
        <v>22.6</v>
      </c>
      <c r="J47" s="190">
        <v>24.6</v>
      </c>
      <c r="K47" s="178">
        <v>42.3</v>
      </c>
      <c r="L47" s="190">
        <v>13.3</v>
      </c>
      <c r="M47" s="182"/>
    </row>
    <row r="48" spans="2:13" ht="15.75">
      <c r="B48" s="165"/>
      <c r="C48" s="157" t="s">
        <v>257</v>
      </c>
      <c r="D48" s="48">
        <v>34.799999999999997</v>
      </c>
      <c r="E48" s="48">
        <v>55.7</v>
      </c>
      <c r="F48" s="48">
        <v>22.4</v>
      </c>
      <c r="G48" s="48">
        <v>35.799999999999997</v>
      </c>
      <c r="H48" s="48">
        <v>57.2</v>
      </c>
      <c r="I48" s="48">
        <v>23.4</v>
      </c>
      <c r="J48" s="190">
        <v>25.2</v>
      </c>
      <c r="K48" s="178">
        <v>43.9</v>
      </c>
      <c r="L48" s="190">
        <v>13.4</v>
      </c>
      <c r="M48" s="182"/>
    </row>
    <row r="49" spans="2:13" ht="15.75">
      <c r="B49" s="156" t="s">
        <v>54</v>
      </c>
      <c r="C49" s="157" t="s">
        <v>258</v>
      </c>
      <c r="D49" s="48">
        <v>35</v>
      </c>
      <c r="E49" s="48">
        <v>54.8</v>
      </c>
      <c r="F49" s="48">
        <v>23.4</v>
      </c>
      <c r="G49" s="48">
        <v>36.1</v>
      </c>
      <c r="H49" s="48">
        <v>56.2</v>
      </c>
      <c r="I49" s="48">
        <v>24.3</v>
      </c>
      <c r="J49" s="190">
        <v>25.9</v>
      </c>
      <c r="K49" s="178">
        <v>43.8</v>
      </c>
      <c r="L49" s="190">
        <v>14.8</v>
      </c>
      <c r="M49" s="182"/>
    </row>
    <row r="50" spans="2:13" ht="15.75">
      <c r="B50" s="165" t="s">
        <v>55</v>
      </c>
      <c r="C50" s="157" t="s">
        <v>259</v>
      </c>
      <c r="D50" s="48">
        <v>36.5</v>
      </c>
      <c r="E50" s="48">
        <v>56.2</v>
      </c>
      <c r="F50" s="48">
        <v>24.9</v>
      </c>
      <c r="G50" s="48">
        <v>37.5</v>
      </c>
      <c r="H50" s="48">
        <v>57.5</v>
      </c>
      <c r="I50" s="48">
        <v>25.9</v>
      </c>
      <c r="J50" s="190">
        <v>27.6</v>
      </c>
      <c r="K50" s="178">
        <v>47.7</v>
      </c>
      <c r="L50" s="190">
        <v>15.3</v>
      </c>
      <c r="M50" s="182"/>
    </row>
    <row r="51" spans="2:13">
      <c r="B51" s="11"/>
      <c r="C51" s="157" t="s">
        <v>260</v>
      </c>
      <c r="D51" s="48">
        <v>36.6</v>
      </c>
      <c r="E51" s="48">
        <v>54.6</v>
      </c>
      <c r="F51" s="48">
        <v>26.2</v>
      </c>
      <c r="G51" s="48">
        <v>37.5</v>
      </c>
      <c r="H51" s="48">
        <v>55.7</v>
      </c>
      <c r="I51" s="48">
        <v>27.2</v>
      </c>
      <c r="J51" s="48">
        <v>28.4</v>
      </c>
      <c r="K51" s="48">
        <v>47.1</v>
      </c>
      <c r="L51" s="48">
        <v>17.2</v>
      </c>
    </row>
    <row r="52" spans="2:13">
      <c r="B52" s="11"/>
      <c r="C52" s="157" t="s">
        <v>167</v>
      </c>
      <c r="D52" s="48">
        <v>37.200000000000003</v>
      </c>
      <c r="E52" s="48">
        <v>55.5</v>
      </c>
      <c r="F52" s="48">
        <v>26.6</v>
      </c>
      <c r="G52" s="48">
        <v>38.299999999999997</v>
      </c>
      <c r="H52" s="48">
        <v>56.6</v>
      </c>
      <c r="I52" s="48">
        <v>27.8</v>
      </c>
      <c r="J52" s="48">
        <v>28.1</v>
      </c>
      <c r="K52" s="48">
        <v>47.6</v>
      </c>
      <c r="L52" s="48">
        <v>16.600000000000001</v>
      </c>
    </row>
    <row r="53" spans="2:13">
      <c r="B53" s="11"/>
      <c r="C53" s="157" t="s">
        <v>168</v>
      </c>
      <c r="D53" s="48">
        <v>38</v>
      </c>
      <c r="E53" s="48">
        <v>55.3</v>
      </c>
      <c r="F53" s="48">
        <v>28.1</v>
      </c>
      <c r="G53" s="48">
        <v>39.200000000000003</v>
      </c>
      <c r="H53" s="48">
        <v>56.7</v>
      </c>
      <c r="I53" s="48">
        <v>29.3</v>
      </c>
      <c r="J53" s="48">
        <v>28.1</v>
      </c>
      <c r="K53" s="48">
        <v>45.9</v>
      </c>
      <c r="L53" s="48">
        <v>17.5</v>
      </c>
    </row>
    <row r="54" spans="2:13">
      <c r="B54" s="11"/>
      <c r="C54" s="157">
        <v>1992</v>
      </c>
      <c r="D54" s="48">
        <v>37.9</v>
      </c>
      <c r="E54" s="48">
        <v>54.2</v>
      </c>
      <c r="F54" s="48">
        <v>28.5</v>
      </c>
      <c r="G54" s="48">
        <v>39.200000000000003</v>
      </c>
      <c r="H54" s="48">
        <v>55.5</v>
      </c>
      <c r="I54" s="48">
        <v>29.8</v>
      </c>
      <c r="J54" s="48">
        <v>28.1</v>
      </c>
      <c r="K54" s="48">
        <v>45.4</v>
      </c>
      <c r="L54" s="48">
        <v>18</v>
      </c>
    </row>
    <row r="55" spans="2:13">
      <c r="B55" s="11"/>
      <c r="C55" s="158" t="s">
        <v>170</v>
      </c>
      <c r="D55" s="159">
        <v>41</v>
      </c>
      <c r="E55" s="159">
        <v>57.3</v>
      </c>
      <c r="F55" s="159">
        <v>31.5</v>
      </c>
      <c r="G55" s="159">
        <v>42.3</v>
      </c>
      <c r="H55" s="159">
        <v>58.6</v>
      </c>
      <c r="I55" s="159">
        <v>33</v>
      </c>
      <c r="J55" s="159">
        <v>30.2</v>
      </c>
      <c r="K55" s="159">
        <v>48.9</v>
      </c>
      <c r="L55" s="159">
        <v>19.399999999999999</v>
      </c>
    </row>
    <row r="56" spans="2:13">
      <c r="B56" s="166"/>
      <c r="C56" s="157">
        <v>1994</v>
      </c>
      <c r="D56" s="159">
        <v>40.6</v>
      </c>
      <c r="E56" s="167">
        <v>55.7</v>
      </c>
      <c r="F56" s="167">
        <v>31.9</v>
      </c>
      <c r="G56" s="167">
        <v>41.9</v>
      </c>
      <c r="H56" s="167">
        <v>56.9</v>
      </c>
      <c r="I56" s="167">
        <v>33.4</v>
      </c>
      <c r="J56" s="167">
        <v>30</v>
      </c>
      <c r="K56" s="167">
        <v>46.9</v>
      </c>
      <c r="L56" s="167">
        <v>20.100000000000001</v>
      </c>
    </row>
    <row r="57" spans="2:13" s="14" customFormat="1">
      <c r="B57" s="166"/>
      <c r="C57" s="158" t="s">
        <v>56</v>
      </c>
      <c r="D57" s="159">
        <v>40.5</v>
      </c>
      <c r="E57" s="168">
        <v>55</v>
      </c>
      <c r="F57" s="168">
        <v>32.200000000000003</v>
      </c>
      <c r="G57" s="168">
        <v>41.8</v>
      </c>
      <c r="H57" s="168">
        <v>56.1</v>
      </c>
      <c r="I57" s="168">
        <v>33.6</v>
      </c>
      <c r="J57" s="168">
        <v>30.3</v>
      </c>
      <c r="K57" s="168">
        <v>47</v>
      </c>
      <c r="L57" s="168">
        <v>20.5</v>
      </c>
    </row>
    <row r="58" spans="2:13">
      <c r="B58" s="166"/>
      <c r="C58" s="158" t="s">
        <v>57</v>
      </c>
      <c r="D58" s="159">
        <v>41</v>
      </c>
      <c r="E58" s="168">
        <v>54.2</v>
      </c>
      <c r="F58" s="168">
        <v>33.4</v>
      </c>
      <c r="G58" s="168">
        <v>42.4</v>
      </c>
      <c r="H58" s="168">
        <v>55.5</v>
      </c>
      <c r="I58" s="168">
        <v>34.9</v>
      </c>
      <c r="J58" s="168">
        <v>30.8</v>
      </c>
      <c r="K58" s="168">
        <v>46.1</v>
      </c>
      <c r="L58" s="168">
        <v>21.8</v>
      </c>
    </row>
    <row r="59" spans="2:13">
      <c r="B59" s="166"/>
      <c r="C59" s="158" t="s">
        <v>58</v>
      </c>
      <c r="D59" s="159">
        <v>41.5</v>
      </c>
      <c r="E59" s="168">
        <v>54.6</v>
      </c>
      <c r="F59" s="168">
        <v>33.9</v>
      </c>
      <c r="G59" s="168">
        <v>43</v>
      </c>
      <c r="H59" s="168">
        <v>55.9</v>
      </c>
      <c r="I59" s="168">
        <v>35.5</v>
      </c>
      <c r="J59" s="168">
        <v>30.3</v>
      </c>
      <c r="K59" s="168">
        <v>45.8</v>
      </c>
      <c r="L59" s="168">
        <v>21.1</v>
      </c>
    </row>
    <row r="60" spans="2:13">
      <c r="B60" s="166"/>
      <c r="C60" s="158" t="s">
        <v>59</v>
      </c>
      <c r="D60" s="168">
        <v>42</v>
      </c>
      <c r="E60" s="168">
        <v>54</v>
      </c>
      <c r="F60" s="168">
        <v>34.799999999999997</v>
      </c>
      <c r="G60" s="168">
        <v>43.6</v>
      </c>
      <c r="H60" s="168">
        <v>55.4</v>
      </c>
      <c r="I60" s="168">
        <v>36.5</v>
      </c>
      <c r="J60" s="168">
        <v>30.8</v>
      </c>
      <c r="K60" s="168">
        <v>45.2</v>
      </c>
      <c r="L60" s="168">
        <v>22.3</v>
      </c>
    </row>
    <row r="61" spans="2:13">
      <c r="B61" s="166"/>
      <c r="C61" s="157">
        <v>1999</v>
      </c>
      <c r="D61" s="127">
        <v>45.8</v>
      </c>
      <c r="E61" s="168">
        <v>58.1</v>
      </c>
      <c r="F61" s="168">
        <v>38.200000000000003</v>
      </c>
      <c r="G61" s="168">
        <v>47.5</v>
      </c>
      <c r="H61" s="168">
        <v>59.6</v>
      </c>
      <c r="I61" s="168">
        <v>40.200000000000003</v>
      </c>
      <c r="J61" s="168">
        <v>33.700000000000003</v>
      </c>
      <c r="K61" s="168">
        <v>50.1</v>
      </c>
      <c r="L61" s="168">
        <v>23.9</v>
      </c>
    </row>
    <row r="62" spans="2:13">
      <c r="B62" s="166"/>
      <c r="C62" s="8">
        <v>2000</v>
      </c>
      <c r="D62" s="127">
        <v>44.3</v>
      </c>
      <c r="E62" s="127">
        <v>54.9</v>
      </c>
      <c r="F62" s="127">
        <v>37.9</v>
      </c>
      <c r="G62" s="127">
        <v>46.1</v>
      </c>
      <c r="H62" s="127">
        <v>56.3</v>
      </c>
      <c r="I62" s="127">
        <v>40</v>
      </c>
      <c r="J62" s="127">
        <v>31.7</v>
      </c>
      <c r="K62" s="127">
        <v>46</v>
      </c>
      <c r="L62" s="127">
        <v>23.1</v>
      </c>
    </row>
    <row r="63" spans="2:13">
      <c r="B63" s="166"/>
      <c r="C63" s="8">
        <v>2001</v>
      </c>
      <c r="D63" s="127">
        <v>43.7</v>
      </c>
      <c r="E63" s="127">
        <v>54</v>
      </c>
      <c r="F63" s="127">
        <v>37.6</v>
      </c>
      <c r="G63" s="127">
        <v>45.6</v>
      </c>
      <c r="H63" s="127">
        <v>55.5</v>
      </c>
      <c r="I63" s="127">
        <v>39.799999999999997</v>
      </c>
      <c r="J63" s="127">
        <v>30.9</v>
      </c>
      <c r="K63" s="127">
        <v>46.3</v>
      </c>
      <c r="L63" s="127">
        <v>22.4</v>
      </c>
    </row>
    <row r="64" spans="2:13">
      <c r="B64" s="166"/>
      <c r="C64" s="8">
        <v>2002</v>
      </c>
      <c r="D64" s="127">
        <v>43.5</v>
      </c>
      <c r="E64" s="127">
        <v>53.5</v>
      </c>
      <c r="F64" s="127">
        <v>37.4</v>
      </c>
      <c r="G64" s="127">
        <v>45.4</v>
      </c>
      <c r="H64" s="127">
        <v>54.9</v>
      </c>
      <c r="I64" s="127">
        <v>39.700000000000003</v>
      </c>
      <c r="J64" s="127">
        <v>31.2</v>
      </c>
      <c r="K64" s="127">
        <v>46.3</v>
      </c>
      <c r="L64" s="127">
        <v>22.6</v>
      </c>
    </row>
    <row r="65" spans="2:12">
      <c r="B65" s="166"/>
      <c r="C65" s="8">
        <v>2003</v>
      </c>
      <c r="D65" s="127">
        <v>43.3</v>
      </c>
      <c r="E65" s="127">
        <v>52.3</v>
      </c>
      <c r="F65" s="127">
        <v>37.799999999999997</v>
      </c>
      <c r="G65" s="127">
        <v>45.4</v>
      </c>
      <c r="H65" s="127">
        <v>53.8</v>
      </c>
      <c r="I65" s="127">
        <v>40.299999999999997</v>
      </c>
      <c r="J65" s="127">
        <v>30.1</v>
      </c>
      <c r="K65" s="127">
        <v>44.4</v>
      </c>
      <c r="L65" s="127">
        <v>22</v>
      </c>
    </row>
    <row r="66" spans="2:12">
      <c r="B66" s="166"/>
      <c r="C66" s="8">
        <v>2004</v>
      </c>
      <c r="D66" s="127">
        <v>41.1</v>
      </c>
      <c r="E66" s="127">
        <v>49.5</v>
      </c>
      <c r="F66" s="127">
        <v>36</v>
      </c>
      <c r="G66" s="127">
        <v>43.2</v>
      </c>
      <c r="H66" s="127">
        <v>51.1</v>
      </c>
      <c r="I66" s="127">
        <v>38.4</v>
      </c>
      <c r="J66" s="127">
        <v>28.2</v>
      </c>
      <c r="K66" s="127">
        <v>40.9</v>
      </c>
      <c r="L66" s="127">
        <v>20.9</v>
      </c>
    </row>
    <row r="67" spans="2:12">
      <c r="B67" s="166"/>
      <c r="C67" s="8">
        <v>2005</v>
      </c>
      <c r="D67" s="127">
        <v>43.2</v>
      </c>
      <c r="E67" s="127">
        <v>51.2</v>
      </c>
      <c r="F67" s="127">
        <v>38.1</v>
      </c>
      <c r="G67" s="127">
        <v>45.4</v>
      </c>
      <c r="H67" s="127">
        <v>52.8</v>
      </c>
      <c r="I67" s="127">
        <v>40.700000000000003</v>
      </c>
      <c r="J67" s="127">
        <v>30.6</v>
      </c>
      <c r="K67" s="127">
        <v>44.1</v>
      </c>
      <c r="L67" s="127">
        <v>22.8</v>
      </c>
    </row>
    <row r="68" spans="2:12">
      <c r="B68" s="166"/>
      <c r="C68" s="8">
        <v>2006</v>
      </c>
      <c r="D68" s="127">
        <v>40.5</v>
      </c>
      <c r="E68" s="127">
        <v>47.6</v>
      </c>
      <c r="F68" s="127">
        <v>35.9</v>
      </c>
      <c r="G68" s="127">
        <v>42.6</v>
      </c>
      <c r="H68" s="127">
        <v>49.2</v>
      </c>
      <c r="I68" s="127">
        <v>38.4</v>
      </c>
      <c r="J68" s="127">
        <v>28.1</v>
      </c>
      <c r="K68" s="127">
        <v>39.5</v>
      </c>
      <c r="L68" s="127">
        <v>21.3</v>
      </c>
    </row>
    <row r="69" spans="2:12">
      <c r="B69" s="166"/>
      <c r="C69" s="8">
        <v>2007</v>
      </c>
      <c r="D69" s="127">
        <v>40.799999999999997</v>
      </c>
      <c r="E69" s="127">
        <v>48</v>
      </c>
      <c r="F69" s="127">
        <v>36</v>
      </c>
      <c r="G69" s="127">
        <v>43</v>
      </c>
      <c r="H69" s="127">
        <v>49.8</v>
      </c>
      <c r="I69" s="127">
        <v>38.5</v>
      </c>
      <c r="J69" s="127">
        <v>28.1</v>
      </c>
      <c r="K69" s="127">
        <v>39.6</v>
      </c>
      <c r="L69" s="127">
        <v>21.4</v>
      </c>
    </row>
    <row r="70" spans="2:12">
      <c r="B70" s="166"/>
      <c r="C70" s="8">
        <v>2008</v>
      </c>
      <c r="D70" s="127">
        <v>44</v>
      </c>
      <c r="E70" s="127">
        <v>51.4</v>
      </c>
      <c r="F70" s="127">
        <v>39.1</v>
      </c>
      <c r="G70" s="127">
        <v>46.4</v>
      </c>
      <c r="H70" s="127">
        <v>53.5</v>
      </c>
      <c r="I70" s="127">
        <v>41.9</v>
      </c>
      <c r="J70" s="127">
        <v>30.4</v>
      </c>
      <c r="K70" s="127">
        <v>41.5</v>
      </c>
      <c r="L70" s="127">
        <v>23.9</v>
      </c>
    </row>
    <row r="71" spans="2:12">
      <c r="B71" s="166"/>
      <c r="C71" s="8">
        <v>2009</v>
      </c>
      <c r="D71" s="127">
        <v>42.3</v>
      </c>
      <c r="E71" s="127">
        <v>49.4</v>
      </c>
      <c r="F71" s="127">
        <v>37.799999999999997</v>
      </c>
      <c r="G71" s="127">
        <v>44.7</v>
      </c>
      <c r="H71" s="127">
        <v>51.3</v>
      </c>
      <c r="I71" s="127">
        <v>40.6</v>
      </c>
      <c r="J71" s="127">
        <v>29.2</v>
      </c>
      <c r="K71" s="127">
        <v>41.3</v>
      </c>
      <c r="L71" s="127">
        <v>22.4</v>
      </c>
    </row>
    <row r="72" spans="2:12">
      <c r="B72" s="166"/>
      <c r="C72" s="8">
        <v>2010</v>
      </c>
      <c r="D72" s="127">
        <v>42.2</v>
      </c>
      <c r="E72" s="127">
        <v>48.7</v>
      </c>
      <c r="F72" s="127">
        <v>38</v>
      </c>
      <c r="G72" s="127">
        <v>44.6</v>
      </c>
      <c r="H72" s="127">
        <v>50.6</v>
      </c>
      <c r="I72" s="127">
        <v>40.799999999999997</v>
      </c>
      <c r="J72" s="127">
        <v>29</v>
      </c>
      <c r="K72" s="127">
        <v>39.799999999999997</v>
      </c>
      <c r="L72" s="127">
        <v>22.8</v>
      </c>
    </row>
    <row r="73" spans="2:12">
      <c r="B73" s="166"/>
      <c r="C73" s="8">
        <v>2011</v>
      </c>
      <c r="D73" s="127">
        <v>42.5</v>
      </c>
      <c r="E73" s="127">
        <v>48.6</v>
      </c>
      <c r="F73" s="127">
        <v>38.5</v>
      </c>
      <c r="G73" s="127">
        <v>45.1</v>
      </c>
      <c r="H73" s="127">
        <v>50.6</v>
      </c>
      <c r="I73" s="127">
        <v>41.5</v>
      </c>
      <c r="J73" s="127">
        <v>29.2</v>
      </c>
      <c r="K73" s="127">
        <v>39.5</v>
      </c>
      <c r="L73" s="127">
        <v>23.2</v>
      </c>
    </row>
    <row r="74" spans="2:12">
      <c r="B74" s="166"/>
      <c r="C74" s="8">
        <v>2012</v>
      </c>
      <c r="D74" s="127">
        <v>41.5</v>
      </c>
      <c r="E74" s="127">
        <v>47.2</v>
      </c>
      <c r="F74" s="127">
        <v>37.799999999999997</v>
      </c>
      <c r="G74" s="127">
        <v>44.1</v>
      </c>
      <c r="H74" s="127">
        <v>49.1</v>
      </c>
      <c r="I74" s="127">
        <v>40.9</v>
      </c>
      <c r="J74" s="127">
        <v>29</v>
      </c>
      <c r="K74" s="127">
        <v>39.299999999999997</v>
      </c>
      <c r="L74" s="127">
        <v>22.9</v>
      </c>
    </row>
    <row r="75" spans="2:12">
      <c r="B75" s="171"/>
      <c r="C75" s="6"/>
      <c r="D75" s="175"/>
      <c r="E75" s="175"/>
      <c r="F75" s="175"/>
      <c r="G75" s="175"/>
      <c r="H75" s="175"/>
      <c r="I75" s="175"/>
      <c r="J75" s="175"/>
      <c r="K75" s="175"/>
      <c r="L75" s="175"/>
    </row>
    <row r="76" spans="2:12" ht="27" customHeight="1">
      <c r="B76" s="347" t="s">
        <v>613</v>
      </c>
      <c r="C76" s="348"/>
      <c r="D76" s="348"/>
      <c r="E76" s="348"/>
      <c r="F76" s="348"/>
      <c r="G76" s="348"/>
      <c r="H76" s="348"/>
      <c r="I76" s="348"/>
      <c r="J76" s="348"/>
      <c r="K76" s="348"/>
      <c r="L76" s="348"/>
    </row>
    <row r="77" spans="2:12" ht="57" customHeight="1">
      <c r="B77" s="347" t="s">
        <v>60</v>
      </c>
      <c r="C77" s="348"/>
      <c r="D77" s="348"/>
      <c r="E77" s="348"/>
      <c r="F77" s="348"/>
      <c r="G77" s="348"/>
      <c r="H77" s="348"/>
      <c r="I77" s="348"/>
      <c r="J77" s="348"/>
      <c r="K77" s="348"/>
      <c r="L77" s="348"/>
    </row>
    <row r="78" spans="2:12" ht="84" customHeight="1">
      <c r="B78" s="347" t="s">
        <v>104</v>
      </c>
      <c r="C78" s="348"/>
      <c r="D78" s="348"/>
      <c r="E78" s="348"/>
      <c r="F78" s="348"/>
      <c r="G78" s="348"/>
      <c r="H78" s="348"/>
      <c r="I78" s="348"/>
      <c r="J78" s="348"/>
      <c r="K78" s="348"/>
      <c r="L78" s="348"/>
    </row>
    <row r="79" spans="2:12" ht="30.7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34"/>
  <sheetViews>
    <sheetView workbookViewId="0"/>
  </sheetViews>
  <sheetFormatPr defaultRowHeight="15"/>
  <cols>
    <col min="1" max="1" width="4.1640625" style="2" customWidth="1"/>
    <col min="2" max="2" width="10.1640625" style="2" customWidth="1"/>
    <col min="3" max="3" width="13.83203125" style="2" bestFit="1" customWidth="1"/>
    <col min="4" max="4" width="10.5" style="2" customWidth="1"/>
    <col min="5" max="5" width="11.1640625" style="2" bestFit="1" customWidth="1"/>
    <col min="6" max="6" width="13.33203125" style="2" bestFit="1" customWidth="1"/>
    <col min="7" max="7" width="10.6640625" style="2" customWidth="1"/>
    <col min="8" max="8" width="10.83203125" style="2" customWidth="1"/>
    <col min="9" max="9" width="9.5" style="2" customWidth="1"/>
    <col min="10" max="10" width="12.1640625" style="2" bestFit="1" customWidth="1"/>
    <col min="11" max="11" width="12.6640625" style="2" customWidth="1"/>
    <col min="12" max="12" width="10.33203125" style="2" customWidth="1"/>
    <col min="13" max="16384" width="9.33203125" style="2"/>
  </cols>
  <sheetData>
    <row r="2" spans="2:12">
      <c r="B2" s="3" t="s">
        <v>261</v>
      </c>
      <c r="C2" s="4"/>
      <c r="D2" s="4"/>
      <c r="E2" s="4"/>
      <c r="F2" s="4"/>
      <c r="G2" s="4"/>
      <c r="H2" s="4"/>
      <c r="I2" s="4"/>
      <c r="J2" s="4"/>
      <c r="K2" s="4"/>
      <c r="L2" s="4"/>
    </row>
    <row r="3" spans="2:12" ht="15.75">
      <c r="B3" s="5" t="s">
        <v>319</v>
      </c>
      <c r="C3" s="4"/>
      <c r="D3" s="4"/>
      <c r="E3" s="4"/>
      <c r="F3" s="4"/>
      <c r="G3" s="4"/>
      <c r="H3" s="4"/>
      <c r="I3" s="4"/>
      <c r="J3" s="4"/>
      <c r="K3" s="4"/>
      <c r="L3" s="4"/>
    </row>
    <row r="4" spans="2:12">
      <c r="B4" s="3" t="s">
        <v>565</v>
      </c>
      <c r="C4" s="4"/>
      <c r="D4" s="4"/>
      <c r="E4" s="4"/>
      <c r="F4" s="4"/>
      <c r="G4" s="4"/>
      <c r="H4" s="4"/>
      <c r="I4" s="4"/>
      <c r="J4" s="4"/>
      <c r="K4" s="4"/>
      <c r="L4" s="4"/>
    </row>
    <row r="5" spans="2:12">
      <c r="B5" s="282" t="s">
        <v>157</v>
      </c>
      <c r="C5" s="282" t="s">
        <v>173</v>
      </c>
      <c r="D5" s="39" t="s">
        <v>172</v>
      </c>
      <c r="E5" s="40"/>
      <c r="F5" s="40"/>
      <c r="G5" s="40"/>
      <c r="H5" s="40"/>
      <c r="I5" s="40"/>
      <c r="J5" s="41"/>
      <c r="K5" s="282" t="s">
        <v>179</v>
      </c>
      <c r="L5" s="282" t="s">
        <v>294</v>
      </c>
    </row>
    <row r="6" spans="2:12" ht="30">
      <c r="B6" s="283"/>
      <c r="C6" s="283"/>
      <c r="D6" s="34" t="s">
        <v>174</v>
      </c>
      <c r="E6" s="34" t="s">
        <v>295</v>
      </c>
      <c r="F6" s="53" t="s">
        <v>296</v>
      </c>
      <c r="G6" s="54" t="s">
        <v>175</v>
      </c>
      <c r="H6" s="34" t="s">
        <v>176</v>
      </c>
      <c r="I6" s="34" t="s">
        <v>177</v>
      </c>
      <c r="J6" s="34" t="s">
        <v>178</v>
      </c>
      <c r="K6" s="283"/>
      <c r="L6" s="283"/>
    </row>
    <row r="7" spans="2:12">
      <c r="B7" s="8" t="s">
        <v>158</v>
      </c>
      <c r="C7" s="23">
        <v>18.100000000000001</v>
      </c>
      <c r="D7" s="23">
        <v>13.4</v>
      </c>
      <c r="E7" s="23">
        <v>157.1</v>
      </c>
      <c r="F7" s="23"/>
      <c r="G7" s="23"/>
      <c r="H7" s="23"/>
      <c r="I7" s="23">
        <v>30.3</v>
      </c>
      <c r="J7" s="23">
        <v>1034.3</v>
      </c>
      <c r="K7" s="23">
        <v>19.2</v>
      </c>
      <c r="L7" s="23">
        <v>2</v>
      </c>
    </row>
    <row r="8" spans="2:12">
      <c r="B8" s="8" t="s">
        <v>180</v>
      </c>
      <c r="C8" s="23">
        <v>17.600000000000001</v>
      </c>
      <c r="D8" s="23">
        <v>13.3</v>
      </c>
      <c r="E8" s="23">
        <v>146.19999999999999</v>
      </c>
      <c r="F8" s="23"/>
      <c r="G8" s="23"/>
      <c r="H8" s="23"/>
      <c r="I8" s="23">
        <v>34.700000000000003</v>
      </c>
      <c r="J8" s="23">
        <v>1228.5999999999999</v>
      </c>
      <c r="K8" s="23">
        <v>19.600000000000001</v>
      </c>
      <c r="L8" s="23">
        <v>2</v>
      </c>
    </row>
    <row r="9" spans="2:12">
      <c r="B9" s="8" t="s">
        <v>181</v>
      </c>
      <c r="C9" s="23">
        <v>18.2</v>
      </c>
      <c r="D9" s="23">
        <v>12.6</v>
      </c>
      <c r="E9" s="23">
        <v>130.6</v>
      </c>
      <c r="F9" s="23"/>
      <c r="G9" s="23"/>
      <c r="H9" s="23"/>
      <c r="I9" s="23">
        <v>39.4</v>
      </c>
      <c r="J9" s="23">
        <v>1027.5</v>
      </c>
      <c r="K9" s="23">
        <v>20.5</v>
      </c>
      <c r="L9" s="23">
        <v>2.2999999999999998</v>
      </c>
    </row>
    <row r="10" spans="2:12">
      <c r="B10" s="8" t="s">
        <v>182</v>
      </c>
      <c r="C10" s="23">
        <v>18.100000000000001</v>
      </c>
      <c r="D10" s="23">
        <v>13.1</v>
      </c>
      <c r="E10" s="23">
        <v>141</v>
      </c>
      <c r="F10" s="23"/>
      <c r="G10" s="23"/>
      <c r="H10" s="23"/>
      <c r="I10" s="23">
        <v>39.4</v>
      </c>
      <c r="J10" s="23">
        <v>927.9</v>
      </c>
      <c r="K10" s="23">
        <v>20.5</v>
      </c>
      <c r="L10" s="23">
        <v>2.2999999999999998</v>
      </c>
    </row>
    <row r="11" spans="2:12">
      <c r="B11" s="8" t="s">
        <v>183</v>
      </c>
      <c r="C11" s="23">
        <v>18.399999999999999</v>
      </c>
      <c r="D11" s="23">
        <v>13.4</v>
      </c>
      <c r="E11" s="23">
        <v>135.1</v>
      </c>
      <c r="F11" s="23"/>
      <c r="G11" s="23"/>
      <c r="H11" s="23"/>
      <c r="I11" s="23">
        <v>40.200000000000003</v>
      </c>
      <c r="J11" s="23">
        <v>917.7</v>
      </c>
      <c r="K11" s="23">
        <v>19.3</v>
      </c>
      <c r="L11" s="23">
        <v>2.2000000000000002</v>
      </c>
    </row>
    <row r="12" spans="2:12">
      <c r="B12" s="8" t="s">
        <v>184</v>
      </c>
      <c r="C12" s="23">
        <v>18</v>
      </c>
      <c r="D12" s="23">
        <v>13.3</v>
      </c>
      <c r="E12" s="23">
        <v>150.19999999999999</v>
      </c>
      <c r="F12" s="23"/>
      <c r="G12" s="23"/>
      <c r="H12" s="23"/>
      <c r="I12" s="23">
        <v>43.5</v>
      </c>
      <c r="J12" s="23">
        <v>885.6</v>
      </c>
      <c r="K12" s="23">
        <v>20.100000000000001</v>
      </c>
      <c r="L12" s="23">
        <v>2.2000000000000002</v>
      </c>
    </row>
    <row r="13" spans="2:12">
      <c r="B13" s="8" t="s">
        <v>185</v>
      </c>
      <c r="C13" s="23">
        <v>22.1</v>
      </c>
      <c r="D13" s="23">
        <v>14</v>
      </c>
      <c r="E13" s="23">
        <v>135.69999999999999</v>
      </c>
      <c r="F13" s="23"/>
      <c r="G13" s="23"/>
      <c r="H13" s="23"/>
      <c r="I13" s="23">
        <v>40.200000000000003</v>
      </c>
      <c r="J13" s="23">
        <v>682.6</v>
      </c>
      <c r="K13" s="23">
        <v>20.7</v>
      </c>
      <c r="L13" s="23">
        <v>2.4</v>
      </c>
    </row>
    <row r="14" spans="2:12">
      <c r="B14" s="8" t="s">
        <v>186</v>
      </c>
      <c r="C14" s="23">
        <v>21.9</v>
      </c>
      <c r="D14" s="23">
        <v>13.6</v>
      </c>
      <c r="E14" s="23">
        <v>117</v>
      </c>
      <c r="F14" s="23"/>
      <c r="G14" s="23"/>
      <c r="H14" s="23"/>
      <c r="I14" s="23">
        <v>39.9</v>
      </c>
      <c r="J14" s="23">
        <v>662.4</v>
      </c>
      <c r="K14" s="23">
        <v>20.7</v>
      </c>
      <c r="L14" s="23">
        <v>2.2999999999999998</v>
      </c>
    </row>
    <row r="15" spans="2:12">
      <c r="B15" s="8" t="s">
        <v>187</v>
      </c>
      <c r="C15" s="23">
        <v>23.7</v>
      </c>
      <c r="D15" s="23">
        <v>13.5</v>
      </c>
      <c r="E15" s="23">
        <v>118.8</v>
      </c>
      <c r="F15" s="23"/>
      <c r="G15" s="23"/>
      <c r="H15" s="23"/>
      <c r="I15" s="23">
        <v>41.6</v>
      </c>
      <c r="J15" s="23">
        <v>679.3</v>
      </c>
      <c r="K15" s="23">
        <v>18.899999999999999</v>
      </c>
      <c r="L15" s="23">
        <v>2.2000000000000002</v>
      </c>
    </row>
    <row r="16" spans="2:12">
      <c r="B16" s="8" t="s">
        <v>188</v>
      </c>
      <c r="C16" s="23">
        <v>23.2</v>
      </c>
      <c r="D16" s="23">
        <v>13.1</v>
      </c>
      <c r="E16" s="23">
        <v>115.7</v>
      </c>
      <c r="F16" s="23"/>
      <c r="G16" s="23"/>
      <c r="H16" s="23"/>
      <c r="I16" s="23">
        <v>39.5</v>
      </c>
      <c r="J16" s="23">
        <v>629.6</v>
      </c>
      <c r="K16" s="23">
        <v>19.7</v>
      </c>
      <c r="L16" s="23">
        <v>2.5</v>
      </c>
    </row>
    <row r="17" spans="2:12">
      <c r="B17" s="11"/>
      <c r="C17" s="23"/>
      <c r="D17" s="23"/>
      <c r="E17" s="23"/>
      <c r="F17" s="23"/>
      <c r="G17" s="23"/>
      <c r="H17" s="23"/>
      <c r="I17" s="23"/>
      <c r="J17" s="23"/>
      <c r="K17" s="23"/>
      <c r="L17" s="23"/>
    </row>
    <row r="18" spans="2:12">
      <c r="B18" s="8" t="s">
        <v>159</v>
      </c>
      <c r="C18" s="23">
        <v>22.8</v>
      </c>
      <c r="D18" s="23">
        <v>14.2</v>
      </c>
      <c r="E18" s="23">
        <v>124.8</v>
      </c>
      <c r="F18" s="23"/>
      <c r="G18" s="23"/>
      <c r="H18" s="23"/>
      <c r="I18" s="23">
        <v>39.9</v>
      </c>
      <c r="J18" s="23">
        <v>672.3</v>
      </c>
      <c r="K18" s="23">
        <v>20.7</v>
      </c>
      <c r="L18" s="23">
        <v>2.6</v>
      </c>
    </row>
    <row r="19" spans="2:12">
      <c r="B19" s="8" t="s">
        <v>189</v>
      </c>
      <c r="C19" s="23">
        <v>22.7</v>
      </c>
      <c r="D19" s="23">
        <v>13.1</v>
      </c>
      <c r="E19" s="23">
        <v>108.4</v>
      </c>
      <c r="F19" s="23"/>
      <c r="G19" s="23"/>
      <c r="H19" s="23"/>
      <c r="I19" s="23">
        <v>41.3</v>
      </c>
      <c r="J19" s="23">
        <v>685.9</v>
      </c>
      <c r="K19" s="23">
        <v>20.6</v>
      </c>
      <c r="L19" s="23">
        <v>2.8</v>
      </c>
    </row>
    <row r="20" spans="2:12">
      <c r="B20" s="8" t="s">
        <v>190</v>
      </c>
      <c r="C20" s="23">
        <v>23.3</v>
      </c>
      <c r="D20" s="23">
        <v>13</v>
      </c>
      <c r="E20" s="23">
        <v>100.4</v>
      </c>
      <c r="F20" s="23"/>
      <c r="G20" s="23"/>
      <c r="H20" s="23"/>
      <c r="I20" s="23">
        <v>41.8</v>
      </c>
      <c r="J20" s="23">
        <v>569.5</v>
      </c>
      <c r="K20" s="23">
        <v>21.3</v>
      </c>
      <c r="L20" s="23">
        <v>2.6</v>
      </c>
    </row>
    <row r="21" spans="2:12">
      <c r="B21" s="8" t="s">
        <v>191</v>
      </c>
      <c r="C21" s="23">
        <v>23.8</v>
      </c>
      <c r="D21" s="23">
        <v>13.3</v>
      </c>
      <c r="E21" s="23">
        <v>104.8</v>
      </c>
      <c r="F21" s="23"/>
      <c r="G21" s="23"/>
      <c r="H21" s="23"/>
      <c r="I21" s="23">
        <v>40.4</v>
      </c>
      <c r="J21" s="23">
        <v>722.7</v>
      </c>
      <c r="K21" s="23">
        <v>21.9</v>
      </c>
      <c r="L21" s="23">
        <v>2.6</v>
      </c>
    </row>
    <row r="22" spans="2:12">
      <c r="B22" s="8" t="s">
        <v>192</v>
      </c>
      <c r="C22" s="23">
        <v>24.3</v>
      </c>
      <c r="D22" s="23">
        <v>12.7</v>
      </c>
      <c r="E22" s="23">
        <v>96.8</v>
      </c>
      <c r="F22" s="23"/>
      <c r="G22" s="23"/>
      <c r="H22" s="23"/>
      <c r="I22" s="23">
        <v>40.6</v>
      </c>
      <c r="J22" s="23">
        <v>660.5</v>
      </c>
      <c r="K22" s="23">
        <v>22.4</v>
      </c>
      <c r="L22" s="23">
        <v>2.8</v>
      </c>
    </row>
    <row r="23" spans="2:12">
      <c r="B23" s="8" t="s">
        <v>193</v>
      </c>
      <c r="C23" s="23">
        <v>25</v>
      </c>
      <c r="D23" s="23">
        <v>12.5</v>
      </c>
      <c r="E23" s="23">
        <v>85.6</v>
      </c>
      <c r="F23" s="23"/>
      <c r="G23" s="23"/>
      <c r="H23" s="23"/>
      <c r="I23" s="23">
        <v>41.4</v>
      </c>
      <c r="J23" s="23">
        <v>601.70000000000005</v>
      </c>
      <c r="K23" s="23">
        <v>21.9</v>
      </c>
      <c r="L23" s="23">
        <v>2.9</v>
      </c>
    </row>
    <row r="24" spans="2:12">
      <c r="B24" s="8" t="s">
        <v>194</v>
      </c>
      <c r="C24" s="23">
        <v>26.2</v>
      </c>
      <c r="D24" s="23">
        <v>13.8</v>
      </c>
      <c r="E24" s="23">
        <v>96.7</v>
      </c>
      <c r="F24" s="23"/>
      <c r="G24" s="23"/>
      <c r="H24" s="23"/>
      <c r="I24" s="23">
        <v>42.4</v>
      </c>
      <c r="J24" s="23">
        <v>577.70000000000005</v>
      </c>
      <c r="K24" s="23">
        <v>24.1</v>
      </c>
      <c r="L24" s="23">
        <v>3.3</v>
      </c>
    </row>
    <row r="25" spans="2:12">
      <c r="B25" s="8" t="s">
        <v>195</v>
      </c>
      <c r="C25" s="23">
        <v>26.2</v>
      </c>
      <c r="D25" s="23">
        <v>13.8</v>
      </c>
      <c r="E25" s="23">
        <v>88.5</v>
      </c>
      <c r="F25" s="23"/>
      <c r="G25" s="23"/>
      <c r="H25" s="23"/>
      <c r="I25" s="23">
        <v>39.700000000000003</v>
      </c>
      <c r="J25" s="23">
        <v>655.29999999999995</v>
      </c>
      <c r="K25" s="23">
        <v>25.1</v>
      </c>
      <c r="L25" s="23">
        <v>3.3</v>
      </c>
    </row>
    <row r="26" spans="2:12">
      <c r="B26" s="8" t="s">
        <v>196</v>
      </c>
      <c r="C26" s="23">
        <v>26.1</v>
      </c>
      <c r="D26" s="23">
        <v>15.6</v>
      </c>
      <c r="E26" s="23">
        <v>89.8</v>
      </c>
      <c r="F26" s="23"/>
      <c r="G26" s="23"/>
      <c r="H26" s="23"/>
      <c r="I26" s="23">
        <v>40.4</v>
      </c>
      <c r="J26" s="23">
        <v>776.9</v>
      </c>
      <c r="K26" s="23">
        <v>19</v>
      </c>
      <c r="L26" s="23">
        <v>3.1</v>
      </c>
    </row>
    <row r="27" spans="2:12">
      <c r="B27" s="8" t="s">
        <v>197</v>
      </c>
      <c r="C27" s="23">
        <v>23.5</v>
      </c>
      <c r="D27" s="23">
        <v>12.7</v>
      </c>
      <c r="E27" s="23">
        <v>89.9</v>
      </c>
      <c r="F27" s="23"/>
      <c r="G27" s="23"/>
      <c r="H27" s="23"/>
      <c r="I27" s="23">
        <v>40</v>
      </c>
      <c r="J27" s="23">
        <v>687.6</v>
      </c>
      <c r="K27" s="23">
        <v>25.4</v>
      </c>
      <c r="L27" s="23">
        <v>4.2</v>
      </c>
    </row>
    <row r="28" spans="2:12">
      <c r="B28" s="11"/>
      <c r="C28" s="23"/>
      <c r="D28" s="23"/>
      <c r="E28" s="23"/>
      <c r="F28" s="23"/>
      <c r="G28" s="23"/>
      <c r="H28" s="23"/>
      <c r="I28" s="23"/>
      <c r="J28" s="23"/>
      <c r="K28" s="23"/>
      <c r="L28" s="23"/>
    </row>
    <row r="29" spans="2:12">
      <c r="B29" s="8" t="s">
        <v>160</v>
      </c>
      <c r="C29" s="23">
        <v>25.1</v>
      </c>
      <c r="D29" s="23">
        <v>14.2</v>
      </c>
      <c r="E29" s="23">
        <v>93.1</v>
      </c>
      <c r="F29" s="23"/>
      <c r="G29" s="23"/>
      <c r="H29" s="23"/>
      <c r="I29" s="23">
        <v>40.9</v>
      </c>
      <c r="J29" s="23">
        <v>861.8</v>
      </c>
      <c r="K29" s="23">
        <v>27.7</v>
      </c>
      <c r="L29" s="23">
        <v>4.7</v>
      </c>
    </row>
    <row r="30" spans="2:12">
      <c r="B30" s="8" t="s">
        <v>198</v>
      </c>
      <c r="C30" s="23">
        <v>25.4</v>
      </c>
      <c r="D30" s="23">
        <v>11.7</v>
      </c>
      <c r="E30" s="23">
        <v>79</v>
      </c>
      <c r="F30" s="23"/>
      <c r="G30" s="23"/>
      <c r="H30" s="23"/>
      <c r="I30" s="23">
        <v>38.200000000000003</v>
      </c>
      <c r="J30" s="23">
        <v>630</v>
      </c>
      <c r="K30" s="23">
        <v>21.9</v>
      </c>
      <c r="L30" s="23">
        <v>4.0999999999999996</v>
      </c>
    </row>
    <row r="31" spans="2:12">
      <c r="B31" s="8" t="s">
        <v>199</v>
      </c>
      <c r="C31" s="23">
        <v>23.1</v>
      </c>
      <c r="D31" s="23">
        <v>11.2</v>
      </c>
      <c r="E31" s="23">
        <v>74.7</v>
      </c>
      <c r="F31" s="23"/>
      <c r="G31" s="23"/>
      <c r="H31" s="23"/>
      <c r="I31" s="23">
        <v>42</v>
      </c>
      <c r="J31" s="23">
        <v>611.9</v>
      </c>
      <c r="K31" s="23">
        <v>22.3</v>
      </c>
      <c r="L31" s="23">
        <v>3.9</v>
      </c>
    </row>
    <row r="32" spans="2:12">
      <c r="B32" s="8" t="s">
        <v>200</v>
      </c>
      <c r="C32" s="23">
        <v>23.1</v>
      </c>
      <c r="D32" s="23">
        <v>12.3</v>
      </c>
      <c r="E32" s="23">
        <v>80.400000000000006</v>
      </c>
      <c r="F32" s="23"/>
      <c r="G32" s="23"/>
      <c r="H32" s="23"/>
      <c r="I32" s="23">
        <v>39.299999999999997</v>
      </c>
      <c r="J32" s="23">
        <v>627.20000000000005</v>
      </c>
      <c r="K32" s="23">
        <v>24.7</v>
      </c>
      <c r="L32" s="23">
        <v>4.4000000000000004</v>
      </c>
    </row>
    <row r="33" spans="2:12">
      <c r="B33" s="8" t="s">
        <v>201</v>
      </c>
      <c r="C33" s="23">
        <v>23.7</v>
      </c>
      <c r="D33" s="23">
        <v>11.4</v>
      </c>
      <c r="E33" s="23">
        <v>72.2</v>
      </c>
      <c r="F33" s="23">
        <v>41.9</v>
      </c>
      <c r="G33" s="23">
        <v>30.2</v>
      </c>
      <c r="H33" s="23">
        <v>66.7</v>
      </c>
      <c r="I33" s="23">
        <v>37.700000000000003</v>
      </c>
      <c r="J33" s="23">
        <v>647.70000000000005</v>
      </c>
      <c r="K33" s="23">
        <v>24.1</v>
      </c>
      <c r="L33" s="23">
        <v>4.5</v>
      </c>
    </row>
    <row r="34" spans="2:12">
      <c r="B34" s="8" t="s">
        <v>202</v>
      </c>
      <c r="C34" s="23">
        <v>23.3</v>
      </c>
      <c r="D34" s="23">
        <v>11.6</v>
      </c>
      <c r="E34" s="23">
        <v>75.7</v>
      </c>
      <c r="F34" s="23">
        <v>40.6</v>
      </c>
      <c r="G34" s="23">
        <v>35.1</v>
      </c>
      <c r="H34" s="23">
        <v>64.900000000000006</v>
      </c>
      <c r="I34" s="23">
        <v>37.1</v>
      </c>
      <c r="J34" s="23">
        <v>635.5</v>
      </c>
      <c r="K34" s="23">
        <v>21.7</v>
      </c>
      <c r="L34" s="23">
        <v>4.5</v>
      </c>
    </row>
    <row r="35" spans="2:12">
      <c r="B35" s="8" t="s">
        <v>203</v>
      </c>
      <c r="C35" s="23">
        <v>22.5</v>
      </c>
      <c r="D35" s="23">
        <v>12.4</v>
      </c>
      <c r="E35" s="23">
        <v>77.5</v>
      </c>
      <c r="F35" s="23">
        <v>41.2</v>
      </c>
      <c r="G35" s="23">
        <v>36.299999999999997</v>
      </c>
      <c r="H35" s="23">
        <v>66.3</v>
      </c>
      <c r="I35" s="23">
        <v>38.799999999999997</v>
      </c>
      <c r="J35" s="23">
        <v>642</v>
      </c>
      <c r="K35" s="23">
        <v>18.7</v>
      </c>
      <c r="L35" s="23">
        <v>4.5</v>
      </c>
    </row>
    <row r="36" spans="2:12">
      <c r="B36" s="8" t="s">
        <v>204</v>
      </c>
      <c r="C36" s="23">
        <v>22.3</v>
      </c>
      <c r="D36" s="23">
        <v>11.3</v>
      </c>
      <c r="E36" s="23">
        <v>67.7</v>
      </c>
      <c r="F36" s="23">
        <v>39.200000000000003</v>
      </c>
      <c r="G36" s="23">
        <v>28.5</v>
      </c>
      <c r="H36" s="23">
        <v>65.5</v>
      </c>
      <c r="I36" s="23">
        <v>38.4</v>
      </c>
      <c r="J36" s="23">
        <v>667.4</v>
      </c>
      <c r="K36" s="23">
        <v>16.2</v>
      </c>
      <c r="L36" s="23">
        <v>4.7</v>
      </c>
    </row>
    <row r="37" spans="2:12">
      <c r="B37" s="8" t="s">
        <v>205</v>
      </c>
      <c r="C37" s="23">
        <v>21.2</v>
      </c>
      <c r="D37" s="23">
        <v>11.9</v>
      </c>
      <c r="E37" s="23">
        <v>69.8</v>
      </c>
      <c r="F37" s="23">
        <v>38.4</v>
      </c>
      <c r="G37" s="23">
        <v>31.5</v>
      </c>
      <c r="H37" s="23">
        <v>65.2</v>
      </c>
      <c r="I37" s="23">
        <v>38</v>
      </c>
      <c r="J37" s="23">
        <v>618.70000000000005</v>
      </c>
      <c r="K37" s="23">
        <v>16.2</v>
      </c>
      <c r="L37" s="23">
        <v>4.5999999999999996</v>
      </c>
    </row>
    <row r="38" spans="2:12">
      <c r="B38" s="8" t="s">
        <v>206</v>
      </c>
      <c r="C38" s="23">
        <v>20.9</v>
      </c>
      <c r="D38" s="23">
        <v>11.9</v>
      </c>
      <c r="E38" s="23">
        <v>66.900000000000006</v>
      </c>
      <c r="F38" s="23">
        <v>38.299999999999997</v>
      </c>
      <c r="G38" s="23">
        <v>28.7</v>
      </c>
      <c r="H38" s="23">
        <v>64.599999999999994</v>
      </c>
      <c r="I38" s="23">
        <v>37.6</v>
      </c>
      <c r="J38" s="23">
        <v>625.20000000000005</v>
      </c>
      <c r="K38" s="23">
        <v>15.6</v>
      </c>
      <c r="L38" s="23">
        <v>5.0999999999999996</v>
      </c>
    </row>
    <row r="39" spans="2:12">
      <c r="B39" s="11"/>
      <c r="C39" s="23"/>
      <c r="D39" s="23"/>
      <c r="E39" s="23"/>
      <c r="F39" s="23"/>
      <c r="G39" s="23"/>
      <c r="H39" s="23"/>
      <c r="I39" s="23"/>
      <c r="J39" s="23"/>
      <c r="K39" s="23"/>
      <c r="L39" s="23"/>
    </row>
    <row r="40" spans="2:12">
      <c r="B40" s="8" t="s">
        <v>161</v>
      </c>
      <c r="C40" s="23">
        <v>20.399999999999999</v>
      </c>
      <c r="D40" s="23">
        <v>10.6</v>
      </c>
      <c r="E40" s="23">
        <v>62.8</v>
      </c>
      <c r="F40" s="23">
        <v>36.6</v>
      </c>
      <c r="G40" s="23">
        <v>26.2</v>
      </c>
      <c r="H40" s="23">
        <v>63.5</v>
      </c>
      <c r="I40" s="23">
        <v>37.6</v>
      </c>
      <c r="J40" s="23">
        <v>603.70000000000005</v>
      </c>
      <c r="K40" s="23">
        <v>12.2</v>
      </c>
      <c r="L40" s="23">
        <v>4.4000000000000004</v>
      </c>
    </row>
    <row r="41" spans="2:12">
      <c r="B41" s="8" t="s">
        <v>207</v>
      </c>
      <c r="C41" s="23">
        <v>18.5</v>
      </c>
      <c r="D41" s="23">
        <v>10.1</v>
      </c>
      <c r="E41" s="23">
        <v>57.3</v>
      </c>
      <c r="F41" s="23">
        <v>34.1</v>
      </c>
      <c r="G41" s="23">
        <v>23.2</v>
      </c>
      <c r="H41" s="23">
        <v>60.2</v>
      </c>
      <c r="I41" s="23">
        <v>35.6</v>
      </c>
      <c r="J41" s="23">
        <v>595.29999999999995</v>
      </c>
      <c r="K41" s="23">
        <v>11.8</v>
      </c>
      <c r="L41" s="23">
        <v>3.9</v>
      </c>
    </row>
    <row r="42" spans="2:12">
      <c r="B42" s="8" t="s">
        <v>208</v>
      </c>
      <c r="C42" s="23">
        <v>17.3</v>
      </c>
      <c r="D42" s="23">
        <v>10.1</v>
      </c>
      <c r="E42" s="23">
        <v>54.3</v>
      </c>
      <c r="F42" s="23">
        <v>32.799999999999997</v>
      </c>
      <c r="G42" s="23">
        <v>21.5</v>
      </c>
      <c r="H42" s="23">
        <v>59</v>
      </c>
      <c r="I42" s="23">
        <v>35</v>
      </c>
      <c r="J42" s="23">
        <v>578.29999999999995</v>
      </c>
      <c r="K42" s="23">
        <v>11.6</v>
      </c>
      <c r="L42" s="23">
        <v>3.2</v>
      </c>
    </row>
    <row r="43" spans="2:12">
      <c r="B43" s="8" t="s">
        <v>209</v>
      </c>
      <c r="C43" s="23">
        <v>16.2</v>
      </c>
      <c r="D43" s="23">
        <v>9.8000000000000007</v>
      </c>
      <c r="E43" s="23">
        <v>50.9</v>
      </c>
      <c r="F43" s="23">
        <v>32.200000000000003</v>
      </c>
      <c r="G43" s="23">
        <v>18.7</v>
      </c>
      <c r="H43" s="23">
        <v>58.9</v>
      </c>
      <c r="I43" s="23">
        <v>34.5</v>
      </c>
      <c r="J43" s="23">
        <v>555.4</v>
      </c>
      <c r="K43" s="23">
        <v>13.3</v>
      </c>
      <c r="L43" s="23">
        <v>3.1</v>
      </c>
    </row>
    <row r="44" spans="2:12">
      <c r="B44" s="8" t="s">
        <v>210</v>
      </c>
      <c r="C44" s="23">
        <v>16.8</v>
      </c>
      <c r="D44" s="23">
        <v>10.1</v>
      </c>
      <c r="E44" s="23">
        <v>52.1</v>
      </c>
      <c r="F44" s="23">
        <v>32.4</v>
      </c>
      <c r="G44" s="23">
        <v>19.8</v>
      </c>
      <c r="H44" s="23">
        <v>55.2</v>
      </c>
      <c r="I44" s="23">
        <v>31.1</v>
      </c>
      <c r="J44" s="23">
        <v>536.1</v>
      </c>
      <c r="K44" s="23">
        <v>17.3</v>
      </c>
      <c r="L44" s="23">
        <v>4</v>
      </c>
    </row>
    <row r="45" spans="2:12">
      <c r="B45" s="8" t="s">
        <v>211</v>
      </c>
      <c r="C45" s="23">
        <v>17.3</v>
      </c>
      <c r="D45" s="23">
        <v>10.1</v>
      </c>
      <c r="E45" s="23">
        <v>47.7</v>
      </c>
      <c r="F45" s="23">
        <v>29.2</v>
      </c>
      <c r="G45" s="23">
        <v>18.5</v>
      </c>
      <c r="H45" s="23">
        <v>53.6</v>
      </c>
      <c r="I45" s="23">
        <v>31.1</v>
      </c>
      <c r="J45" s="23">
        <v>501.1</v>
      </c>
      <c r="K45" s="23">
        <v>17.899999999999999</v>
      </c>
      <c r="L45" s="23">
        <v>4.3</v>
      </c>
    </row>
    <row r="46" spans="2:12">
      <c r="B46" s="8" t="s">
        <v>212</v>
      </c>
      <c r="C46" s="23">
        <v>17.399999999999999</v>
      </c>
      <c r="D46" s="23">
        <v>10.8</v>
      </c>
      <c r="E46" s="23">
        <v>50.6</v>
      </c>
      <c r="F46" s="23">
        <v>29.9</v>
      </c>
      <c r="G46" s="23">
        <v>20.7</v>
      </c>
      <c r="H46" s="23">
        <v>51.9</v>
      </c>
      <c r="I46" s="23">
        <v>29.7</v>
      </c>
      <c r="J46" s="23">
        <v>480.5</v>
      </c>
      <c r="K46" s="23">
        <v>18.5</v>
      </c>
      <c r="L46" s="23">
        <v>4.5</v>
      </c>
    </row>
    <row r="47" spans="2:12">
      <c r="B47" s="8" t="s">
        <v>213</v>
      </c>
      <c r="C47" s="23">
        <v>17.8</v>
      </c>
      <c r="D47" s="23">
        <v>10.4</v>
      </c>
      <c r="E47" s="23">
        <v>47.8</v>
      </c>
      <c r="F47" s="23">
        <v>29.5</v>
      </c>
      <c r="G47" s="23">
        <v>18.3</v>
      </c>
      <c r="H47" s="23">
        <v>52.2</v>
      </c>
      <c r="I47" s="23">
        <v>29.6</v>
      </c>
      <c r="J47" s="23">
        <v>356</v>
      </c>
      <c r="K47" s="23">
        <v>18.7</v>
      </c>
      <c r="L47" s="23">
        <v>4.9000000000000004</v>
      </c>
    </row>
    <row r="48" spans="2:12">
      <c r="B48" s="8" t="s">
        <v>214</v>
      </c>
      <c r="C48" s="23">
        <v>18.7</v>
      </c>
      <c r="D48" s="23">
        <v>9.8000000000000007</v>
      </c>
      <c r="E48" s="23">
        <v>44.5</v>
      </c>
      <c r="F48" s="23">
        <v>28.2</v>
      </c>
      <c r="G48" s="23">
        <v>16.3</v>
      </c>
      <c r="H48" s="23">
        <v>50</v>
      </c>
      <c r="I48" s="23">
        <v>28.2</v>
      </c>
      <c r="J48" s="23">
        <v>355.8</v>
      </c>
      <c r="K48" s="23">
        <v>11.6</v>
      </c>
      <c r="L48" s="23">
        <v>4.0999999999999996</v>
      </c>
    </row>
    <row r="49" spans="2:12">
      <c r="B49" s="8" t="s">
        <v>215</v>
      </c>
      <c r="C49" s="23">
        <v>18.100000000000001</v>
      </c>
      <c r="D49" s="23">
        <v>10</v>
      </c>
      <c r="E49" s="23">
        <v>41.8</v>
      </c>
      <c r="F49" s="23">
        <v>27.5</v>
      </c>
      <c r="G49" s="23">
        <v>14.4</v>
      </c>
      <c r="H49" s="23">
        <v>48.5</v>
      </c>
      <c r="I49" s="23">
        <v>27.2</v>
      </c>
      <c r="J49" s="23">
        <v>296.5</v>
      </c>
      <c r="K49" s="23">
        <v>14.5</v>
      </c>
      <c r="L49" s="23">
        <v>4.4000000000000004</v>
      </c>
    </row>
    <row r="50" spans="2:12">
      <c r="B50" s="11"/>
      <c r="C50" s="23"/>
      <c r="D50" s="23"/>
      <c r="E50" s="23"/>
      <c r="F50" s="23"/>
      <c r="G50" s="23"/>
      <c r="H50" s="25"/>
      <c r="I50" s="23"/>
      <c r="J50" s="23"/>
      <c r="K50" s="23"/>
      <c r="L50" s="23"/>
    </row>
    <row r="51" spans="2:12">
      <c r="B51" s="8" t="s">
        <v>162</v>
      </c>
      <c r="C51" s="23">
        <v>18.899999999999999</v>
      </c>
      <c r="D51" s="23">
        <v>9.9</v>
      </c>
      <c r="E51" s="23">
        <v>40.6</v>
      </c>
      <c r="F51" s="23">
        <v>26.5</v>
      </c>
      <c r="G51" s="23">
        <v>14.1</v>
      </c>
      <c r="H51" s="23">
        <v>46.7</v>
      </c>
      <c r="I51" s="23">
        <v>26.3</v>
      </c>
      <c r="J51" s="23">
        <v>294.60000000000002</v>
      </c>
      <c r="K51" s="23">
        <v>17.600000000000001</v>
      </c>
      <c r="L51" s="23">
        <v>4.5999999999999996</v>
      </c>
    </row>
    <row r="52" spans="2:12">
      <c r="B52" s="8" t="s">
        <v>216</v>
      </c>
      <c r="C52" s="23">
        <v>19.8</v>
      </c>
      <c r="D52" s="23">
        <v>9.6999999999999993</v>
      </c>
      <c r="E52" s="23">
        <v>38.799999999999997</v>
      </c>
      <c r="F52" s="23">
        <v>25</v>
      </c>
      <c r="G52" s="23">
        <v>13.8</v>
      </c>
      <c r="H52" s="23">
        <v>45.3</v>
      </c>
      <c r="I52" s="23">
        <v>25.8</v>
      </c>
      <c r="J52" s="23">
        <v>277.2</v>
      </c>
      <c r="K52" s="23">
        <v>18.8</v>
      </c>
      <c r="L52" s="23">
        <v>4.9000000000000004</v>
      </c>
    </row>
    <row r="53" spans="2:12">
      <c r="B53" s="8" t="s">
        <v>217</v>
      </c>
      <c r="C53" s="23">
        <v>22.4</v>
      </c>
      <c r="D53" s="23">
        <v>9.5</v>
      </c>
      <c r="E53" s="23">
        <v>37.1</v>
      </c>
      <c r="F53" s="23">
        <v>24.9</v>
      </c>
      <c r="G53" s="23">
        <v>12.2</v>
      </c>
      <c r="H53" s="23">
        <v>43.9</v>
      </c>
      <c r="I53" s="23">
        <v>24.7</v>
      </c>
      <c r="J53" s="23">
        <v>209.6</v>
      </c>
      <c r="K53" s="23">
        <v>18.600000000000001</v>
      </c>
      <c r="L53" s="23">
        <v>5.0999999999999996</v>
      </c>
    </row>
    <row r="54" spans="2:12">
      <c r="B54" s="8" t="s">
        <v>218</v>
      </c>
      <c r="C54" s="23">
        <v>23.3</v>
      </c>
      <c r="D54" s="23">
        <v>10.6</v>
      </c>
      <c r="E54" s="23">
        <v>38.299999999999997</v>
      </c>
      <c r="F54" s="23">
        <v>23.7</v>
      </c>
      <c r="G54" s="23">
        <v>14.5</v>
      </c>
      <c r="H54" s="23">
        <v>43.2</v>
      </c>
      <c r="I54" s="23">
        <v>25.6</v>
      </c>
      <c r="J54" s="23">
        <v>188.9</v>
      </c>
      <c r="K54" s="23">
        <v>16.5</v>
      </c>
      <c r="L54" s="23">
        <v>5.7</v>
      </c>
    </row>
    <row r="55" spans="2:12">
      <c r="B55" s="8" t="s">
        <v>219</v>
      </c>
      <c r="C55" s="23">
        <v>21.1</v>
      </c>
      <c r="D55" s="23">
        <v>10</v>
      </c>
      <c r="E55" s="23">
        <v>38.1</v>
      </c>
      <c r="F55" s="23">
        <v>24.5</v>
      </c>
      <c r="G55" s="23">
        <v>13.6</v>
      </c>
      <c r="H55" s="23">
        <v>44.1</v>
      </c>
      <c r="I55" s="23">
        <v>25.3</v>
      </c>
      <c r="J55" s="23">
        <v>174.3</v>
      </c>
      <c r="K55" s="23">
        <v>15.5</v>
      </c>
      <c r="L55" s="23">
        <v>6.8</v>
      </c>
    </row>
    <row r="56" spans="2:12">
      <c r="B56" s="8" t="s">
        <v>220</v>
      </c>
      <c r="C56" s="23">
        <v>20.5</v>
      </c>
      <c r="D56" s="23">
        <v>9.9</v>
      </c>
      <c r="E56" s="23">
        <v>35.9</v>
      </c>
      <c r="F56" s="23">
        <v>23.9</v>
      </c>
      <c r="G56" s="23">
        <v>12</v>
      </c>
      <c r="H56" s="23">
        <v>42.9</v>
      </c>
      <c r="I56" s="23">
        <v>24.2</v>
      </c>
      <c r="J56" s="23">
        <v>148.80000000000001</v>
      </c>
      <c r="K56" s="23">
        <v>17.8</v>
      </c>
      <c r="L56" s="23">
        <v>7.8</v>
      </c>
    </row>
    <row r="57" spans="2:12">
      <c r="B57" s="8" t="s">
        <v>221</v>
      </c>
      <c r="C57" s="23">
        <v>24.3</v>
      </c>
      <c r="D57" s="23">
        <v>9.6</v>
      </c>
      <c r="E57" s="23">
        <v>32.799999999999997</v>
      </c>
      <c r="F57" s="23">
        <v>24</v>
      </c>
      <c r="G57" s="23">
        <v>8.8000000000000007</v>
      </c>
      <c r="H57" s="23">
        <v>42.2</v>
      </c>
      <c r="I57" s="23">
        <v>22.9</v>
      </c>
      <c r="J57" s="23">
        <v>117.6</v>
      </c>
      <c r="K57" s="23">
        <v>27.6</v>
      </c>
      <c r="L57" s="23">
        <v>10.199999999999999</v>
      </c>
    </row>
    <row r="58" spans="2:12">
      <c r="B58" s="8" t="s">
        <v>222</v>
      </c>
      <c r="C58" s="23">
        <v>26.4</v>
      </c>
      <c r="D58" s="23">
        <v>9.4</v>
      </c>
      <c r="E58" s="23">
        <v>31.5</v>
      </c>
      <c r="F58" s="23">
        <v>22.9</v>
      </c>
      <c r="G58" s="23">
        <v>8.6</v>
      </c>
      <c r="H58" s="23">
        <v>40.200000000000003</v>
      </c>
      <c r="I58" s="23">
        <v>21.4</v>
      </c>
      <c r="J58" s="23">
        <v>107.9</v>
      </c>
      <c r="K58" s="23">
        <v>23.5</v>
      </c>
      <c r="L58" s="23">
        <v>7.1</v>
      </c>
    </row>
    <row r="59" spans="2:12">
      <c r="B59" s="8" t="s">
        <v>223</v>
      </c>
      <c r="C59" s="23">
        <v>24.8</v>
      </c>
      <c r="D59" s="23">
        <v>9.1</v>
      </c>
      <c r="E59" s="23">
        <v>30</v>
      </c>
      <c r="F59" s="23">
        <v>21.8</v>
      </c>
      <c r="G59" s="23">
        <v>8.1999999999999993</v>
      </c>
      <c r="H59" s="23">
        <v>38</v>
      </c>
      <c r="I59" s="23">
        <v>20.399999999999999</v>
      </c>
      <c r="J59" s="23">
        <v>78.099999999999994</v>
      </c>
      <c r="K59" s="23">
        <v>20</v>
      </c>
      <c r="L59" s="23">
        <v>5.2</v>
      </c>
    </row>
    <row r="60" spans="2:12">
      <c r="B60" s="8" t="s">
        <v>224</v>
      </c>
      <c r="C60" s="23">
        <v>24.6</v>
      </c>
      <c r="D60" s="23">
        <v>9</v>
      </c>
      <c r="E60" s="23">
        <v>28.9</v>
      </c>
      <c r="F60" s="23">
        <v>20.7</v>
      </c>
      <c r="G60" s="23">
        <v>8.1999999999999993</v>
      </c>
      <c r="H60" s="23">
        <v>36</v>
      </c>
      <c r="I60" s="23">
        <v>19.100000000000001</v>
      </c>
      <c r="J60" s="23">
        <v>67.099999999999994</v>
      </c>
      <c r="K60" s="23">
        <v>16.7</v>
      </c>
      <c r="L60" s="23">
        <v>5.0999999999999996</v>
      </c>
    </row>
    <row r="61" spans="2:12">
      <c r="B61" s="8"/>
      <c r="C61" s="23"/>
      <c r="D61" s="23"/>
      <c r="E61" s="23"/>
      <c r="F61" s="23"/>
      <c r="G61" s="23"/>
      <c r="H61" s="23"/>
      <c r="I61" s="23"/>
      <c r="J61" s="23"/>
      <c r="K61" s="23"/>
      <c r="L61" s="23"/>
    </row>
    <row r="62" spans="2:12">
      <c r="B62" s="8" t="s">
        <v>163</v>
      </c>
      <c r="C62" s="23">
        <v>25.1</v>
      </c>
      <c r="D62" s="23">
        <v>9</v>
      </c>
      <c r="E62" s="23">
        <v>26.4</v>
      </c>
      <c r="F62" s="23">
        <v>19</v>
      </c>
      <c r="G62" s="23">
        <v>7.3</v>
      </c>
      <c r="H62" s="23">
        <v>35.4</v>
      </c>
      <c r="I62" s="23">
        <v>19.3</v>
      </c>
      <c r="J62" s="23">
        <v>56.9</v>
      </c>
      <c r="K62" s="23">
        <v>18.3</v>
      </c>
      <c r="L62" s="23">
        <v>5</v>
      </c>
    </row>
    <row r="63" spans="2:12">
      <c r="B63" s="8" t="s">
        <v>225</v>
      </c>
      <c r="C63" s="23">
        <v>26.3</v>
      </c>
      <c r="D63" s="23">
        <v>9</v>
      </c>
      <c r="E63" s="23">
        <v>26.1</v>
      </c>
      <c r="F63" s="23">
        <v>19.100000000000001</v>
      </c>
      <c r="G63" s="23">
        <v>7</v>
      </c>
      <c r="H63" s="23">
        <v>34.700000000000003</v>
      </c>
      <c r="I63" s="23">
        <v>18.3</v>
      </c>
      <c r="J63" s="23">
        <v>54.5</v>
      </c>
      <c r="K63" s="23">
        <v>16.3</v>
      </c>
      <c r="L63" s="23">
        <v>4.7</v>
      </c>
    </row>
    <row r="64" spans="2:12">
      <c r="B64" s="8" t="s">
        <v>226</v>
      </c>
      <c r="C64" s="23">
        <v>26.5</v>
      </c>
      <c r="D64" s="23">
        <v>8.8000000000000007</v>
      </c>
      <c r="E64" s="23">
        <v>26.4</v>
      </c>
      <c r="F64" s="23">
        <v>19.2</v>
      </c>
      <c r="G64" s="23">
        <v>7.2</v>
      </c>
      <c r="H64" s="23">
        <v>34.6</v>
      </c>
      <c r="I64" s="23">
        <v>18.100000000000001</v>
      </c>
      <c r="J64" s="23">
        <v>46.1</v>
      </c>
      <c r="K64" s="23">
        <v>15.1</v>
      </c>
      <c r="L64" s="23">
        <v>4.4000000000000004</v>
      </c>
    </row>
    <row r="65" spans="2:12">
      <c r="B65" s="8" t="s">
        <v>227</v>
      </c>
      <c r="C65" s="23">
        <v>26.7</v>
      </c>
      <c r="D65" s="23">
        <v>9.1</v>
      </c>
      <c r="E65" s="23">
        <v>25.8</v>
      </c>
      <c r="F65" s="23">
        <v>18.5</v>
      </c>
      <c r="G65" s="23">
        <v>7.3</v>
      </c>
      <c r="H65" s="23">
        <v>33.200000000000003</v>
      </c>
      <c r="I65" s="23">
        <v>17.399999999999999</v>
      </c>
      <c r="J65" s="23">
        <v>43.2</v>
      </c>
      <c r="K65" s="23">
        <v>15.6</v>
      </c>
      <c r="L65" s="23">
        <v>4.8</v>
      </c>
    </row>
    <row r="66" spans="2:12">
      <c r="B66" s="8" t="s">
        <v>228</v>
      </c>
      <c r="C66" s="23">
        <v>27.3</v>
      </c>
      <c r="D66" s="23">
        <v>8.6</v>
      </c>
      <c r="E66" s="23">
        <v>25</v>
      </c>
      <c r="F66" s="23">
        <v>18.5</v>
      </c>
      <c r="G66" s="23">
        <v>6.4</v>
      </c>
      <c r="H66" s="23">
        <v>32.799999999999997</v>
      </c>
      <c r="I66" s="23">
        <v>16.899999999999999</v>
      </c>
      <c r="J66" s="23">
        <v>48.9</v>
      </c>
      <c r="K66" s="23">
        <v>14.6</v>
      </c>
      <c r="L66" s="23">
        <v>4.5999999999999996</v>
      </c>
    </row>
    <row r="67" spans="2:12">
      <c r="B67" s="8" t="s">
        <v>229</v>
      </c>
      <c r="C67" s="23">
        <v>27.1</v>
      </c>
      <c r="D67" s="23">
        <v>8.6999999999999993</v>
      </c>
      <c r="E67" s="23">
        <v>24.8</v>
      </c>
      <c r="F67" s="23">
        <v>18.899999999999999</v>
      </c>
      <c r="G67" s="23">
        <v>5.9</v>
      </c>
      <c r="H67" s="23">
        <v>32</v>
      </c>
      <c r="I67" s="23">
        <v>15.4</v>
      </c>
      <c r="J67" s="23">
        <v>31.1</v>
      </c>
      <c r="K67" s="23">
        <v>15.4</v>
      </c>
      <c r="L67" s="23">
        <v>4.9000000000000004</v>
      </c>
    </row>
    <row r="68" spans="2:12">
      <c r="B68" s="8" t="s">
        <v>230</v>
      </c>
      <c r="C68" s="23">
        <v>27.4</v>
      </c>
      <c r="D68" s="23">
        <v>8.6</v>
      </c>
      <c r="E68" s="23">
        <v>24.5</v>
      </c>
      <c r="F68" s="23">
        <v>18.399999999999999</v>
      </c>
      <c r="G68" s="23">
        <v>6.1</v>
      </c>
      <c r="H68" s="23">
        <v>31.8</v>
      </c>
      <c r="I68" s="23">
        <v>15.7</v>
      </c>
      <c r="J68" s="23">
        <v>40.799999999999997</v>
      </c>
      <c r="K68" s="23">
        <v>15.2</v>
      </c>
      <c r="L68" s="23">
        <v>4.3</v>
      </c>
    </row>
    <row r="69" spans="2:12">
      <c r="B69" s="8" t="s">
        <v>231</v>
      </c>
      <c r="C69" s="23">
        <v>26.7</v>
      </c>
      <c r="D69" s="23">
        <v>8.5</v>
      </c>
      <c r="E69" s="23">
        <v>24.4</v>
      </c>
      <c r="F69" s="23">
        <v>18.600000000000001</v>
      </c>
      <c r="G69" s="23">
        <v>5.8</v>
      </c>
      <c r="H69" s="23">
        <v>31.5</v>
      </c>
      <c r="I69" s="23">
        <v>15.1</v>
      </c>
      <c r="J69" s="23">
        <v>37.9</v>
      </c>
      <c r="K69" s="23">
        <v>14.1</v>
      </c>
      <c r="L69" s="23">
        <v>4</v>
      </c>
    </row>
    <row r="70" spans="2:12">
      <c r="B70" s="8" t="s">
        <v>232</v>
      </c>
      <c r="C70" s="23">
        <v>25.8</v>
      </c>
      <c r="D70" s="23">
        <v>8.4</v>
      </c>
      <c r="E70" s="23">
        <v>24.6</v>
      </c>
      <c r="F70" s="23">
        <v>18.7</v>
      </c>
      <c r="G70" s="23">
        <v>5.9</v>
      </c>
      <c r="H70" s="23">
        <v>31.7</v>
      </c>
      <c r="I70" s="23">
        <v>15.3</v>
      </c>
      <c r="J70" s="23">
        <v>34</v>
      </c>
      <c r="K70" s="23">
        <v>14</v>
      </c>
      <c r="L70" s="23">
        <v>3.6</v>
      </c>
    </row>
    <row r="71" spans="2:12">
      <c r="B71" s="8" t="s">
        <v>233</v>
      </c>
      <c r="C71" s="23">
        <v>24.9</v>
      </c>
      <c r="D71" s="23">
        <v>8.4</v>
      </c>
      <c r="E71" s="23">
        <v>24.4</v>
      </c>
      <c r="F71" s="23">
        <v>18.5</v>
      </c>
      <c r="G71" s="23">
        <v>5.9</v>
      </c>
      <c r="H71" s="23">
        <v>31.1</v>
      </c>
      <c r="I71" s="23">
        <v>14.8</v>
      </c>
      <c r="J71" s="23">
        <v>36.299999999999997</v>
      </c>
      <c r="K71" s="23">
        <v>14.8</v>
      </c>
      <c r="L71" s="23">
        <v>4.0999999999999996</v>
      </c>
    </row>
    <row r="72" spans="2:12">
      <c r="B72" s="11"/>
      <c r="C72" s="23"/>
      <c r="D72" s="23"/>
      <c r="E72" s="23"/>
      <c r="F72" s="23"/>
      <c r="G72" s="23"/>
      <c r="H72" s="23"/>
      <c r="I72" s="23"/>
      <c r="J72" s="23"/>
      <c r="K72" s="23"/>
      <c r="L72" s="23"/>
    </row>
    <row r="73" spans="2:12">
      <c r="B73" s="8" t="s">
        <v>164</v>
      </c>
      <c r="C73" s="23">
        <v>24.9</v>
      </c>
      <c r="D73" s="23">
        <v>8.6999999999999993</v>
      </c>
      <c r="E73" s="23">
        <v>24.1</v>
      </c>
      <c r="F73" s="23">
        <v>18.399999999999999</v>
      </c>
      <c r="G73" s="23">
        <v>5.8</v>
      </c>
      <c r="H73" s="23">
        <v>31.5</v>
      </c>
      <c r="I73" s="23">
        <v>15.4</v>
      </c>
      <c r="J73" s="23">
        <v>38.5</v>
      </c>
      <c r="K73" s="23">
        <v>15.6</v>
      </c>
      <c r="L73" s="23">
        <v>4.3</v>
      </c>
    </row>
    <row r="74" spans="2:12">
      <c r="B74" s="8" t="s">
        <v>234</v>
      </c>
      <c r="C74" s="23">
        <v>24.4</v>
      </c>
      <c r="D74" s="23">
        <v>8.5</v>
      </c>
      <c r="E74" s="23">
        <v>23.9</v>
      </c>
      <c r="F74" s="23">
        <v>18</v>
      </c>
      <c r="G74" s="23">
        <v>5.9</v>
      </c>
      <c r="H74" s="23">
        <v>30</v>
      </c>
      <c r="I74" s="23">
        <v>14.2</v>
      </c>
      <c r="J74" s="23">
        <v>40.5</v>
      </c>
      <c r="K74" s="23">
        <v>16</v>
      </c>
      <c r="L74" s="23">
        <v>4.0999999999999996</v>
      </c>
    </row>
    <row r="75" spans="2:12">
      <c r="B75" s="8" t="s">
        <v>235</v>
      </c>
      <c r="C75" s="23">
        <v>23</v>
      </c>
      <c r="D75" s="23">
        <v>8.8000000000000007</v>
      </c>
      <c r="E75" s="23">
        <v>23.9</v>
      </c>
      <c r="F75" s="23">
        <v>17.8</v>
      </c>
      <c r="G75" s="23">
        <v>6.1</v>
      </c>
      <c r="H75" s="23">
        <v>30.6</v>
      </c>
      <c r="I75" s="23">
        <v>14.8</v>
      </c>
      <c r="J75" s="23">
        <v>30.6</v>
      </c>
      <c r="K75" s="23">
        <v>16.399999999999999</v>
      </c>
      <c r="L75" s="23">
        <v>4.4000000000000004</v>
      </c>
    </row>
    <row r="76" spans="2:12">
      <c r="B76" s="8" t="s">
        <v>236</v>
      </c>
      <c r="C76" s="23">
        <v>22.3</v>
      </c>
      <c r="D76" s="23">
        <v>9</v>
      </c>
      <c r="E76" s="23">
        <v>23.2</v>
      </c>
      <c r="F76" s="23">
        <v>17.399999999999999</v>
      </c>
      <c r="G76" s="23">
        <v>5.8</v>
      </c>
      <c r="H76" s="23">
        <v>29.8</v>
      </c>
      <c r="I76" s="23">
        <v>14.2</v>
      </c>
      <c r="J76" s="23">
        <v>39.700000000000003</v>
      </c>
      <c r="K76" s="23">
        <v>17</v>
      </c>
      <c r="L76" s="23">
        <v>4.4000000000000004</v>
      </c>
    </row>
    <row r="77" spans="2:12">
      <c r="B77" s="8" t="s">
        <v>237</v>
      </c>
      <c r="C77" s="23">
        <v>21.6</v>
      </c>
      <c r="D77" s="23">
        <v>8.9</v>
      </c>
      <c r="E77" s="23">
        <v>23.1</v>
      </c>
      <c r="F77" s="23">
        <v>17.5</v>
      </c>
      <c r="G77" s="23">
        <v>5.6</v>
      </c>
      <c r="H77" s="23">
        <v>29.8</v>
      </c>
      <c r="I77" s="23">
        <v>14.1</v>
      </c>
      <c r="J77" s="23">
        <v>35.4</v>
      </c>
      <c r="K77" s="23">
        <v>18.2</v>
      </c>
      <c r="L77" s="23">
        <v>4.8</v>
      </c>
    </row>
    <row r="78" spans="2:12">
      <c r="B78" s="8" t="s">
        <v>238</v>
      </c>
      <c r="C78" s="23">
        <v>20.3</v>
      </c>
      <c r="D78" s="23">
        <v>9</v>
      </c>
      <c r="E78" s="23">
        <v>23.6</v>
      </c>
      <c r="F78" s="23">
        <v>17.5</v>
      </c>
      <c r="G78" s="23">
        <v>6.2</v>
      </c>
      <c r="H78" s="23">
        <v>30.4</v>
      </c>
      <c r="I78" s="23">
        <v>14.9</v>
      </c>
      <c r="J78" s="23">
        <v>32.4</v>
      </c>
      <c r="K78" s="23">
        <v>19.8</v>
      </c>
      <c r="L78" s="23">
        <v>5</v>
      </c>
    </row>
    <row r="79" spans="2:12">
      <c r="B79" s="8" t="s">
        <v>239</v>
      </c>
      <c r="C79" s="23">
        <v>19.899999999999999</v>
      </c>
      <c r="D79" s="23">
        <v>9</v>
      </c>
      <c r="E79" s="23">
        <v>22.6</v>
      </c>
      <c r="F79" s="23">
        <v>17.100000000000001</v>
      </c>
      <c r="G79" s="23">
        <v>5.6</v>
      </c>
      <c r="H79" s="23">
        <v>29.2</v>
      </c>
      <c r="I79" s="23">
        <v>13.8</v>
      </c>
      <c r="J79" s="23">
        <v>32.6</v>
      </c>
      <c r="K79" s="23">
        <v>20.2</v>
      </c>
      <c r="L79" s="23">
        <v>5.2</v>
      </c>
    </row>
    <row r="80" spans="2:12">
      <c r="B80" s="8" t="s">
        <v>240</v>
      </c>
      <c r="C80" s="23">
        <v>18.899999999999999</v>
      </c>
      <c r="D80" s="23">
        <v>8.6999999999999993</v>
      </c>
      <c r="E80" s="23">
        <v>22.1</v>
      </c>
      <c r="F80" s="23">
        <v>16.7</v>
      </c>
      <c r="G80" s="23">
        <v>5.4</v>
      </c>
      <c r="H80" s="23">
        <v>28.4</v>
      </c>
      <c r="I80" s="23">
        <v>13.5</v>
      </c>
      <c r="J80" s="23">
        <v>31.9</v>
      </c>
      <c r="K80" s="23">
        <v>19.600000000000001</v>
      </c>
      <c r="L80" s="23">
        <v>5.5</v>
      </c>
    </row>
    <row r="81" spans="2:12">
      <c r="B81" s="8" t="s">
        <v>241</v>
      </c>
      <c r="C81" s="23">
        <v>18.3</v>
      </c>
      <c r="D81" s="23">
        <v>8.9</v>
      </c>
      <c r="E81" s="23">
        <v>21.6</v>
      </c>
      <c r="F81" s="23">
        <v>16.5</v>
      </c>
      <c r="G81" s="23">
        <v>5.2</v>
      </c>
      <c r="H81" s="23">
        <v>27.8</v>
      </c>
      <c r="I81" s="23">
        <v>13</v>
      </c>
      <c r="J81" s="23">
        <v>27.7</v>
      </c>
      <c r="K81" s="23">
        <v>21</v>
      </c>
      <c r="L81" s="23">
        <v>5.9</v>
      </c>
    </row>
    <row r="82" spans="2:12">
      <c r="B82" s="8" t="s">
        <v>242</v>
      </c>
      <c r="C82" s="23">
        <v>19</v>
      </c>
      <c r="D82" s="23">
        <v>8.8000000000000007</v>
      </c>
      <c r="E82" s="23">
        <v>20.2</v>
      </c>
      <c r="F82" s="23">
        <v>15.4</v>
      </c>
      <c r="G82" s="23">
        <v>4.9000000000000004</v>
      </c>
      <c r="H82" s="23">
        <v>26.7</v>
      </c>
      <c r="I82" s="23">
        <v>13.1</v>
      </c>
      <c r="J82" s="23">
        <v>16.3</v>
      </c>
      <c r="K82" s="23">
        <v>21.4</v>
      </c>
      <c r="L82" s="23">
        <v>6.5</v>
      </c>
    </row>
    <row r="83" spans="2:12">
      <c r="B83" s="8"/>
      <c r="C83" s="27"/>
      <c r="D83" s="27"/>
      <c r="E83" s="27"/>
      <c r="F83" s="27"/>
      <c r="G83" s="55"/>
      <c r="H83" s="27"/>
      <c r="I83" s="27"/>
      <c r="J83" s="27"/>
      <c r="K83" s="27"/>
      <c r="L83" s="27"/>
    </row>
    <row r="84" spans="2:12">
      <c r="B84" s="8" t="s">
        <v>165</v>
      </c>
      <c r="C84" s="23">
        <v>19.3</v>
      </c>
      <c r="D84" s="23">
        <v>8.6</v>
      </c>
      <c r="E84" s="23">
        <v>20.3</v>
      </c>
      <c r="F84" s="23">
        <v>15.6</v>
      </c>
      <c r="G84" s="23">
        <v>4.8</v>
      </c>
      <c r="H84" s="23">
        <v>26</v>
      </c>
      <c r="I84" s="23">
        <v>12</v>
      </c>
      <c r="J84" s="23">
        <v>16.899999999999999</v>
      </c>
      <c r="K84" s="23">
        <v>20.7</v>
      </c>
      <c r="L84" s="23">
        <v>6.7</v>
      </c>
    </row>
    <row r="85" spans="2:12">
      <c r="B85" s="8" t="s">
        <v>243</v>
      </c>
      <c r="C85" s="23">
        <v>18.100000000000001</v>
      </c>
      <c r="D85" s="23">
        <v>8.6</v>
      </c>
      <c r="E85" s="23">
        <v>19.5</v>
      </c>
      <c r="F85" s="23">
        <v>14.9</v>
      </c>
      <c r="G85" s="23">
        <v>4.5999999999999996</v>
      </c>
      <c r="H85" s="23">
        <v>25.2</v>
      </c>
      <c r="I85" s="23">
        <v>11.9</v>
      </c>
      <c r="J85" s="23">
        <v>19.7</v>
      </c>
      <c r="K85" s="23">
        <v>20.5</v>
      </c>
      <c r="L85" s="23">
        <v>7.1</v>
      </c>
    </row>
    <row r="86" spans="2:12">
      <c r="B86" s="8" t="s">
        <v>244</v>
      </c>
      <c r="C86" s="23">
        <v>16.3</v>
      </c>
      <c r="D86" s="23">
        <v>8.8000000000000007</v>
      </c>
      <c r="E86" s="23">
        <v>19.100000000000001</v>
      </c>
      <c r="F86" s="23">
        <v>14.4</v>
      </c>
      <c r="G86" s="23">
        <v>4.7</v>
      </c>
      <c r="H86" s="23">
        <v>24.9</v>
      </c>
      <c r="I86" s="23">
        <v>12</v>
      </c>
      <c r="J86" s="23">
        <v>23.8</v>
      </c>
      <c r="K86" s="23">
        <v>20.9</v>
      </c>
      <c r="L86" s="23">
        <v>7.9</v>
      </c>
    </row>
    <row r="87" spans="2:12">
      <c r="B87" s="8" t="s">
        <v>245</v>
      </c>
      <c r="C87" s="23">
        <v>15.6</v>
      </c>
      <c r="D87" s="23">
        <v>8.6999999999999993</v>
      </c>
      <c r="E87" s="23">
        <v>18.100000000000001</v>
      </c>
      <c r="F87" s="23">
        <v>13.4</v>
      </c>
      <c r="G87" s="23">
        <v>4.7</v>
      </c>
      <c r="H87" s="23">
        <v>23.7</v>
      </c>
      <c r="I87" s="23">
        <v>11.9</v>
      </c>
      <c r="J87" s="23">
        <v>18.399999999999999</v>
      </c>
      <c r="K87" s="23">
        <v>20.8</v>
      </c>
      <c r="L87" s="23">
        <v>8.1999999999999993</v>
      </c>
    </row>
    <row r="88" spans="2:12">
      <c r="B88" s="8" t="s">
        <v>246</v>
      </c>
      <c r="C88" s="23">
        <v>15.1</v>
      </c>
      <c r="D88" s="23">
        <v>8.4</v>
      </c>
      <c r="E88" s="23">
        <v>17.399999999999999</v>
      </c>
      <c r="F88" s="23">
        <v>12.6</v>
      </c>
      <c r="G88" s="23">
        <v>4.8</v>
      </c>
      <c r="H88" s="23">
        <v>21.2</v>
      </c>
      <c r="I88" s="23">
        <v>10.5</v>
      </c>
      <c r="J88" s="23">
        <v>13.8</v>
      </c>
      <c r="K88" s="23">
        <v>19.3</v>
      </c>
      <c r="L88" s="23">
        <v>8.8000000000000007</v>
      </c>
    </row>
    <row r="89" spans="2:12">
      <c r="B89" s="8" t="s">
        <v>247</v>
      </c>
      <c r="C89" s="23">
        <v>14.7</v>
      </c>
      <c r="D89" s="23">
        <v>8.1999999999999993</v>
      </c>
      <c r="E89" s="23">
        <v>16.5</v>
      </c>
      <c r="F89" s="23">
        <v>11.7</v>
      </c>
      <c r="G89" s="23">
        <v>4.8</v>
      </c>
      <c r="H89" s="23">
        <v>19.8</v>
      </c>
      <c r="I89" s="23">
        <v>10.1</v>
      </c>
      <c r="J89" s="23">
        <v>11.9</v>
      </c>
      <c r="K89" s="23">
        <v>18.2</v>
      </c>
      <c r="L89" s="23">
        <v>9</v>
      </c>
    </row>
    <row r="90" spans="2:12">
      <c r="B90" s="8" t="s">
        <v>248</v>
      </c>
      <c r="C90" s="23">
        <v>14.4</v>
      </c>
      <c r="D90" s="23">
        <v>8.3000000000000007</v>
      </c>
      <c r="E90" s="23">
        <v>15.1</v>
      </c>
      <c r="F90" s="23">
        <v>10.8</v>
      </c>
      <c r="G90" s="23">
        <v>4.2</v>
      </c>
      <c r="H90" s="23">
        <v>18.8</v>
      </c>
      <c r="I90" s="23">
        <v>9.6</v>
      </c>
      <c r="J90" s="23">
        <v>10.7</v>
      </c>
      <c r="K90" s="23">
        <v>18.2</v>
      </c>
      <c r="L90" s="23">
        <v>9.5</v>
      </c>
    </row>
    <row r="91" spans="2:12">
      <c r="B91" s="8" t="s">
        <v>249</v>
      </c>
      <c r="C91" s="23">
        <v>15.1</v>
      </c>
      <c r="D91" s="23">
        <v>8.1</v>
      </c>
      <c r="E91" s="23">
        <v>14.1</v>
      </c>
      <c r="F91" s="23">
        <v>9.9</v>
      </c>
      <c r="G91" s="23">
        <v>4.2</v>
      </c>
      <c r="H91" s="23">
        <v>17.600000000000001</v>
      </c>
      <c r="I91" s="23">
        <v>9.3000000000000007</v>
      </c>
      <c r="J91" s="23">
        <v>7.9</v>
      </c>
      <c r="K91" s="23">
        <v>18.8</v>
      </c>
      <c r="L91" s="23">
        <v>9.4</v>
      </c>
    </row>
    <row r="92" spans="2:12">
      <c r="B92" s="8" t="s">
        <v>250</v>
      </c>
      <c r="C92" s="23">
        <v>15.1</v>
      </c>
      <c r="D92" s="23">
        <v>8.1</v>
      </c>
      <c r="E92" s="23">
        <v>13.9</v>
      </c>
      <c r="F92" s="23">
        <v>9.1999999999999993</v>
      </c>
      <c r="G92" s="23">
        <v>4.7</v>
      </c>
      <c r="H92" s="23">
        <v>16.399999999999999</v>
      </c>
      <c r="I92" s="23">
        <v>8.6999999999999993</v>
      </c>
      <c r="J92" s="23">
        <v>10.8</v>
      </c>
      <c r="K92" s="23">
        <v>19.2</v>
      </c>
      <c r="L92" s="23">
        <v>9.8000000000000007</v>
      </c>
    </row>
    <row r="93" spans="2:12">
      <c r="B93" s="8" t="s">
        <v>251</v>
      </c>
      <c r="C93" s="23">
        <v>15.6</v>
      </c>
      <c r="D93" s="23">
        <v>7.9</v>
      </c>
      <c r="E93" s="23">
        <v>13.3</v>
      </c>
      <c r="F93" s="23">
        <v>9</v>
      </c>
      <c r="G93" s="23">
        <v>4.3</v>
      </c>
      <c r="H93" s="23">
        <v>15.7</v>
      </c>
      <c r="I93" s="23">
        <v>8.1</v>
      </c>
      <c r="J93" s="23">
        <v>7.6</v>
      </c>
      <c r="K93" s="23">
        <v>19.3</v>
      </c>
      <c r="L93" s="23">
        <v>9.6</v>
      </c>
    </row>
    <row r="94" spans="2:12">
      <c r="B94" s="11"/>
      <c r="C94" s="23"/>
      <c r="D94" s="23"/>
      <c r="E94" s="23"/>
      <c r="F94" s="23"/>
      <c r="G94" s="23"/>
      <c r="H94" s="23"/>
      <c r="I94" s="23"/>
      <c r="J94" s="23"/>
      <c r="K94" s="23"/>
      <c r="L94" s="23"/>
    </row>
    <row r="95" spans="2:12">
      <c r="B95" s="8" t="s">
        <v>166</v>
      </c>
      <c r="C95" s="23">
        <v>15.7</v>
      </c>
      <c r="D95" s="23">
        <v>8.1</v>
      </c>
      <c r="E95" s="23">
        <v>12.8</v>
      </c>
      <c r="F95" s="23">
        <v>8.8000000000000007</v>
      </c>
      <c r="G95" s="23">
        <v>3.9</v>
      </c>
      <c r="H95" s="23">
        <v>15.3</v>
      </c>
      <c r="I95" s="23">
        <v>7.8</v>
      </c>
      <c r="J95" s="23">
        <v>11</v>
      </c>
      <c r="K95" s="23">
        <v>18.8</v>
      </c>
      <c r="L95" s="23">
        <v>9.6999999999999993</v>
      </c>
    </row>
    <row r="96" spans="2:12">
      <c r="B96" s="8" t="s">
        <v>252</v>
      </c>
      <c r="C96" s="23">
        <v>15.3</v>
      </c>
      <c r="D96" s="23">
        <v>8.1999999999999993</v>
      </c>
      <c r="E96" s="23">
        <v>13.2</v>
      </c>
      <c r="F96" s="23">
        <v>9.1</v>
      </c>
      <c r="G96" s="23">
        <v>4.0999999999999996</v>
      </c>
      <c r="H96" s="23">
        <v>15.2</v>
      </c>
      <c r="I96" s="23">
        <v>7.4</v>
      </c>
      <c r="J96" s="23">
        <v>5</v>
      </c>
      <c r="K96" s="23">
        <v>18.5</v>
      </c>
      <c r="L96" s="23">
        <v>9.4</v>
      </c>
    </row>
    <row r="97" spans="2:12">
      <c r="B97" s="8" t="s">
        <v>253</v>
      </c>
      <c r="C97" s="23">
        <v>15.1</v>
      </c>
      <c r="D97" s="23">
        <v>8.3000000000000007</v>
      </c>
      <c r="E97" s="23">
        <v>12.1</v>
      </c>
      <c r="F97" s="23">
        <v>8.6999999999999993</v>
      </c>
      <c r="G97" s="23">
        <v>3.4</v>
      </c>
      <c r="H97" s="23">
        <v>14.3</v>
      </c>
      <c r="I97" s="23">
        <v>6.9</v>
      </c>
      <c r="J97" s="23">
        <v>8</v>
      </c>
      <c r="K97" s="23">
        <v>18.100000000000001</v>
      </c>
      <c r="L97" s="23">
        <v>8.6999999999999993</v>
      </c>
    </row>
    <row r="98" spans="2:12">
      <c r="B98" s="8" t="s">
        <v>254</v>
      </c>
      <c r="C98" s="23">
        <v>14.7</v>
      </c>
      <c r="D98" s="23">
        <v>8.5</v>
      </c>
      <c r="E98" s="23">
        <v>11.8</v>
      </c>
      <c r="F98" s="23">
        <v>8</v>
      </c>
      <c r="G98" s="23">
        <v>3.8</v>
      </c>
      <c r="H98" s="23">
        <v>13.8</v>
      </c>
      <c r="I98" s="23">
        <v>7</v>
      </c>
      <c r="J98" s="23">
        <v>4.5</v>
      </c>
      <c r="K98" s="23">
        <v>17.399999999999999</v>
      </c>
      <c r="L98" s="23">
        <v>8.4</v>
      </c>
    </row>
    <row r="99" spans="2:12">
      <c r="B99" s="8" t="s">
        <v>255</v>
      </c>
      <c r="C99" s="23">
        <v>15</v>
      </c>
      <c r="D99" s="23">
        <v>8.4</v>
      </c>
      <c r="E99" s="23">
        <v>11.7</v>
      </c>
      <c r="F99" s="23">
        <v>8.1</v>
      </c>
      <c r="G99" s="23">
        <v>3.6</v>
      </c>
      <c r="H99" s="23">
        <v>13.8</v>
      </c>
      <c r="I99" s="23">
        <v>6.8</v>
      </c>
      <c r="J99" s="26" t="s">
        <v>292</v>
      </c>
      <c r="K99" s="23">
        <v>17.899999999999999</v>
      </c>
      <c r="L99" s="23">
        <v>8.3000000000000007</v>
      </c>
    </row>
    <row r="100" spans="2:12">
      <c r="B100" s="8" t="s">
        <v>256</v>
      </c>
      <c r="C100" s="23">
        <v>15.2</v>
      </c>
      <c r="D100" s="23">
        <v>8.6999999999999993</v>
      </c>
      <c r="E100" s="23">
        <v>11.4</v>
      </c>
      <c r="F100" s="23">
        <v>7.8</v>
      </c>
      <c r="G100" s="23">
        <v>3.7</v>
      </c>
      <c r="H100" s="23">
        <v>13.4</v>
      </c>
      <c r="I100" s="23">
        <v>6.9</v>
      </c>
      <c r="J100" s="23">
        <v>6.5</v>
      </c>
      <c r="K100" s="23">
        <v>17.399999999999999</v>
      </c>
      <c r="L100" s="23">
        <v>8.5</v>
      </c>
    </row>
    <row r="101" spans="2:12">
      <c r="B101" s="8" t="s">
        <v>257</v>
      </c>
      <c r="C101" s="23">
        <v>15.1</v>
      </c>
      <c r="D101" s="23">
        <v>8.8000000000000007</v>
      </c>
      <c r="E101" s="23">
        <v>11.4</v>
      </c>
      <c r="F101" s="23">
        <v>7.8</v>
      </c>
      <c r="G101" s="23">
        <v>3.5</v>
      </c>
      <c r="H101" s="23">
        <v>12.9</v>
      </c>
      <c r="I101" s="23">
        <v>6.3</v>
      </c>
      <c r="J101" s="23">
        <v>8</v>
      </c>
      <c r="K101" s="23">
        <v>17.100000000000001</v>
      </c>
      <c r="L101" s="23">
        <v>8.6999999999999993</v>
      </c>
    </row>
    <row r="102" spans="2:12">
      <c r="B102" s="8" t="s">
        <v>258</v>
      </c>
      <c r="C102" s="23">
        <v>15.3</v>
      </c>
      <c r="D102" s="23">
        <v>8.6999999999999993</v>
      </c>
      <c r="E102" s="23">
        <v>10.9</v>
      </c>
      <c r="F102" s="23">
        <v>7.3</v>
      </c>
      <c r="G102" s="23">
        <v>3.6</v>
      </c>
      <c r="H102" s="23">
        <v>12</v>
      </c>
      <c r="I102" s="23">
        <v>5.9</v>
      </c>
      <c r="J102" s="23">
        <v>5.7</v>
      </c>
      <c r="K102" s="23">
        <v>16.2</v>
      </c>
      <c r="L102" s="23">
        <v>8.6999999999999993</v>
      </c>
    </row>
    <row r="103" spans="2:12">
      <c r="B103" s="8" t="s">
        <v>259</v>
      </c>
      <c r="C103" s="23">
        <v>15.1</v>
      </c>
      <c r="D103" s="23">
        <v>8.6999999999999993</v>
      </c>
      <c r="E103" s="23">
        <v>11</v>
      </c>
      <c r="F103" s="23">
        <v>7.6</v>
      </c>
      <c r="G103" s="23">
        <v>3.4</v>
      </c>
      <c r="H103" s="23">
        <v>11.8</v>
      </c>
      <c r="I103" s="23">
        <v>5.4</v>
      </c>
      <c r="J103" s="23">
        <v>7.9</v>
      </c>
      <c r="K103" s="23">
        <v>16.399999999999999</v>
      </c>
      <c r="L103" s="23">
        <v>8.6999999999999993</v>
      </c>
    </row>
    <row r="104" spans="2:12">
      <c r="B104" s="8" t="s">
        <v>260</v>
      </c>
      <c r="C104" s="23">
        <v>16</v>
      </c>
      <c r="D104" s="23">
        <v>8.5</v>
      </c>
      <c r="E104" s="23">
        <v>11.1</v>
      </c>
      <c r="F104" s="23">
        <v>7.2</v>
      </c>
      <c r="G104" s="23">
        <v>3.9</v>
      </c>
      <c r="H104" s="23">
        <v>12</v>
      </c>
      <c r="I104" s="23">
        <v>5.9</v>
      </c>
      <c r="J104" s="23">
        <v>8.8000000000000007</v>
      </c>
      <c r="K104" s="23">
        <v>16.5</v>
      </c>
      <c r="L104" s="23">
        <v>8.6999999999999993</v>
      </c>
    </row>
    <row r="105" spans="2:12">
      <c r="B105" s="11"/>
      <c r="C105" s="23"/>
      <c r="D105" s="23"/>
      <c r="E105" s="23"/>
      <c r="F105" s="23"/>
      <c r="G105" s="23"/>
      <c r="H105" s="23"/>
      <c r="I105" s="23"/>
      <c r="J105" s="23"/>
      <c r="K105" s="23"/>
      <c r="L105" s="23"/>
    </row>
    <row r="106" spans="2:12">
      <c r="B106" s="8" t="s">
        <v>167</v>
      </c>
      <c r="C106" s="23">
        <v>16.399999999999999</v>
      </c>
      <c r="D106" s="23">
        <v>8.4</v>
      </c>
      <c r="E106" s="23">
        <v>10.7</v>
      </c>
      <c r="F106" s="23">
        <v>7</v>
      </c>
      <c r="G106" s="23">
        <v>3.7</v>
      </c>
      <c r="H106" s="23">
        <v>11.2</v>
      </c>
      <c r="I106" s="23">
        <v>5.4</v>
      </c>
      <c r="J106" s="23">
        <v>6.5</v>
      </c>
      <c r="K106" s="23">
        <v>16.3</v>
      </c>
      <c r="L106" s="23">
        <v>8.6999999999999993</v>
      </c>
    </row>
    <row r="107" spans="2:12">
      <c r="B107" s="8" t="s">
        <v>168</v>
      </c>
      <c r="C107" s="23">
        <v>15.9</v>
      </c>
      <c r="D107" s="23">
        <v>8.5</v>
      </c>
      <c r="E107" s="23">
        <v>10.4</v>
      </c>
      <c r="F107" s="23">
        <v>6.7</v>
      </c>
      <c r="G107" s="23">
        <v>3.7</v>
      </c>
      <c r="H107" s="23">
        <v>10.8</v>
      </c>
      <c r="I107" s="23">
        <v>5.2</v>
      </c>
      <c r="J107" s="23">
        <v>10.7</v>
      </c>
      <c r="K107" s="23">
        <v>15.5</v>
      </c>
      <c r="L107" s="23">
        <v>8.5</v>
      </c>
    </row>
    <row r="108" spans="2:12">
      <c r="B108" s="8" t="s">
        <v>169</v>
      </c>
      <c r="C108" s="23">
        <v>15.2</v>
      </c>
      <c r="D108" s="23">
        <v>8.3000000000000007</v>
      </c>
      <c r="E108" s="23">
        <v>10.199999999999999</v>
      </c>
      <c r="F108" s="23">
        <v>6.7</v>
      </c>
      <c r="G108" s="23">
        <v>3.5</v>
      </c>
      <c r="H108" s="23">
        <v>10.9</v>
      </c>
      <c r="I108" s="23">
        <v>5.2</v>
      </c>
      <c r="J108" s="23">
        <v>10.4</v>
      </c>
      <c r="K108" s="23">
        <v>15.1</v>
      </c>
      <c r="L108" s="23">
        <v>8.5</v>
      </c>
    </row>
    <row r="109" spans="2:12">
      <c r="B109" s="8" t="s">
        <v>170</v>
      </c>
      <c r="C109" s="23">
        <v>14.6</v>
      </c>
      <c r="D109" s="23">
        <v>8.6</v>
      </c>
      <c r="E109" s="23">
        <v>9.5</v>
      </c>
      <c r="F109" s="23">
        <v>6.1</v>
      </c>
      <c r="G109" s="23">
        <v>3.3</v>
      </c>
      <c r="H109" s="23">
        <v>10.199999999999999</v>
      </c>
      <c r="I109" s="23">
        <v>5.2</v>
      </c>
      <c r="J109" s="23">
        <v>5.7</v>
      </c>
      <c r="K109" s="23">
        <v>14.9</v>
      </c>
      <c r="L109" s="23">
        <v>8.5</v>
      </c>
    </row>
    <row r="110" spans="2:12">
      <c r="B110" s="8">
        <v>1994</v>
      </c>
      <c r="C110" s="23">
        <v>14.4</v>
      </c>
      <c r="D110" s="23">
        <v>8.6</v>
      </c>
      <c r="E110" s="23">
        <v>8.6</v>
      </c>
      <c r="F110" s="23">
        <v>5.6</v>
      </c>
      <c r="G110" s="23">
        <v>3</v>
      </c>
      <c r="H110" s="23">
        <v>10</v>
      </c>
      <c r="I110" s="23">
        <v>5.3</v>
      </c>
      <c r="J110" s="23">
        <v>5.8</v>
      </c>
      <c r="K110" s="23">
        <v>14.8</v>
      </c>
      <c r="L110" s="23">
        <v>8.3000000000000007</v>
      </c>
    </row>
    <row r="111" spans="2:12">
      <c r="B111" s="8">
        <v>1995</v>
      </c>
      <c r="C111" s="23">
        <v>13.9</v>
      </c>
      <c r="D111" s="23">
        <v>8.6</v>
      </c>
      <c r="E111" s="23">
        <v>8.3000000000000007</v>
      </c>
      <c r="F111" s="23">
        <v>5.4</v>
      </c>
      <c r="G111" s="23">
        <v>2.9</v>
      </c>
      <c r="H111" s="23">
        <v>10.1</v>
      </c>
      <c r="I111" s="23">
        <v>5.7</v>
      </c>
      <c r="J111" s="23">
        <v>8.1999999999999993</v>
      </c>
      <c r="K111" s="23">
        <v>14.7</v>
      </c>
      <c r="L111" s="23">
        <v>8.1999999999999993</v>
      </c>
    </row>
    <row r="112" spans="2:12">
      <c r="B112" s="8">
        <v>1996</v>
      </c>
      <c r="C112" s="23">
        <v>13.7</v>
      </c>
      <c r="D112" s="23">
        <v>8.6</v>
      </c>
      <c r="E112" s="23">
        <v>8</v>
      </c>
      <c r="F112" s="23">
        <v>5.3</v>
      </c>
      <c r="G112" s="23">
        <v>2.8</v>
      </c>
      <c r="H112" s="23">
        <v>9.9</v>
      </c>
      <c r="I112" s="23">
        <v>5.7</v>
      </c>
      <c r="J112" s="26" t="s">
        <v>292</v>
      </c>
      <c r="K112" s="23">
        <v>14.1</v>
      </c>
      <c r="L112" s="23">
        <v>7.8</v>
      </c>
    </row>
    <row r="113" spans="2:12">
      <c r="B113" s="56">
        <v>1997</v>
      </c>
      <c r="C113" s="23">
        <v>13.6</v>
      </c>
      <c r="D113" s="23">
        <v>8.5</v>
      </c>
      <c r="E113" s="23">
        <v>8.1</v>
      </c>
      <c r="F113" s="23">
        <v>5.6</v>
      </c>
      <c r="G113" s="23">
        <v>2.5</v>
      </c>
      <c r="H113" s="23">
        <v>10.3</v>
      </c>
      <c r="I113" s="23">
        <v>6</v>
      </c>
      <c r="J113" s="23">
        <v>9</v>
      </c>
      <c r="K113" s="23">
        <v>13.7</v>
      </c>
      <c r="L113" s="23">
        <v>7.8</v>
      </c>
    </row>
    <row r="114" spans="2:12">
      <c r="B114" s="8">
        <v>1998</v>
      </c>
      <c r="C114" s="23">
        <v>13.6</v>
      </c>
      <c r="D114" s="23">
        <v>8.6</v>
      </c>
      <c r="E114" s="23">
        <v>8.1999999999999993</v>
      </c>
      <c r="F114" s="23">
        <v>5.3</v>
      </c>
      <c r="G114" s="23">
        <v>2.9</v>
      </c>
      <c r="H114" s="23">
        <v>10.4</v>
      </c>
      <c r="I114" s="23">
        <v>6.2</v>
      </c>
      <c r="J114" s="23">
        <v>6</v>
      </c>
      <c r="K114" s="23">
        <v>13.4</v>
      </c>
      <c r="L114" s="23">
        <v>7.8</v>
      </c>
    </row>
    <row r="115" spans="2:12">
      <c r="B115" s="56">
        <v>1999</v>
      </c>
      <c r="C115" s="10">
        <v>13.5</v>
      </c>
      <c r="D115" s="23">
        <v>8.8000000000000007</v>
      </c>
      <c r="E115" s="23">
        <v>8</v>
      </c>
      <c r="F115" s="23">
        <v>5.5</v>
      </c>
      <c r="G115" s="23">
        <v>2.6</v>
      </c>
      <c r="H115" s="23">
        <v>10.199999999999999</v>
      </c>
      <c r="I115" s="23">
        <v>5.9</v>
      </c>
      <c r="J115" s="23">
        <v>8.1999999999999993</v>
      </c>
      <c r="K115" s="23">
        <v>13.6</v>
      </c>
      <c r="L115" s="23">
        <v>7.7</v>
      </c>
    </row>
    <row r="116" spans="2:12">
      <c r="B116" s="56"/>
      <c r="C116" s="10"/>
      <c r="D116" s="23"/>
      <c r="E116" s="23"/>
      <c r="F116" s="23"/>
      <c r="G116" s="23"/>
      <c r="H116" s="23"/>
      <c r="I116" s="23"/>
      <c r="J116" s="23"/>
      <c r="K116" s="23"/>
      <c r="L116" s="23"/>
    </row>
    <row r="117" spans="2:12">
      <c r="B117" s="56">
        <v>2000</v>
      </c>
      <c r="C117" s="10">
        <v>13.6</v>
      </c>
      <c r="D117" s="23">
        <v>8.6999999999999993</v>
      </c>
      <c r="E117" s="23">
        <v>8.1999999999999993</v>
      </c>
      <c r="F117" s="23">
        <v>5.7</v>
      </c>
      <c r="G117" s="23">
        <v>2.5</v>
      </c>
      <c r="H117" s="23">
        <v>10.5</v>
      </c>
      <c r="I117" s="23">
        <v>5.8</v>
      </c>
      <c r="J117" s="23">
        <v>6.6</v>
      </c>
      <c r="K117" s="23">
        <v>13.3</v>
      </c>
      <c r="L117" s="23">
        <v>7.8</v>
      </c>
    </row>
    <row r="118" spans="2:12">
      <c r="B118" s="56">
        <v>2001</v>
      </c>
      <c r="C118" s="10">
        <v>13.2</v>
      </c>
      <c r="D118" s="10">
        <v>8.6</v>
      </c>
      <c r="E118" s="10">
        <v>8</v>
      </c>
      <c r="F118" s="10">
        <v>5.5</v>
      </c>
      <c r="G118" s="10">
        <v>2.5</v>
      </c>
      <c r="H118" s="10">
        <v>10.3</v>
      </c>
      <c r="I118" s="10">
        <v>5.9</v>
      </c>
      <c r="J118" s="10">
        <v>6.8</v>
      </c>
      <c r="K118" s="10">
        <v>13.3</v>
      </c>
      <c r="L118" s="10">
        <v>7.7</v>
      </c>
    </row>
    <row r="119" spans="2:12">
      <c r="B119" s="56">
        <v>2002</v>
      </c>
      <c r="C119" s="10">
        <v>12.8</v>
      </c>
      <c r="D119" s="10">
        <v>8.6999999999999993</v>
      </c>
      <c r="E119" s="10">
        <v>8.1</v>
      </c>
      <c r="F119" s="10">
        <v>5.6</v>
      </c>
      <c r="G119" s="10">
        <v>2.6</v>
      </c>
      <c r="H119" s="10">
        <v>10.1</v>
      </c>
      <c r="I119" s="10">
        <v>5.8</v>
      </c>
      <c r="J119" s="10">
        <v>9.3000000000000007</v>
      </c>
      <c r="K119" s="10">
        <v>12.9</v>
      </c>
      <c r="L119" s="10">
        <v>7.5</v>
      </c>
    </row>
    <row r="120" spans="2:12">
      <c r="B120" s="56">
        <v>2003</v>
      </c>
      <c r="C120" s="10">
        <v>12.9</v>
      </c>
      <c r="D120" s="10">
        <v>8.6</v>
      </c>
      <c r="E120" s="10">
        <v>8.5</v>
      </c>
      <c r="F120" s="10">
        <v>5.9</v>
      </c>
      <c r="G120" s="10">
        <v>2.6</v>
      </c>
      <c r="H120" s="10">
        <v>10.5</v>
      </c>
      <c r="I120" s="10">
        <v>5.8</v>
      </c>
      <c r="J120" s="10">
        <v>12.2</v>
      </c>
      <c r="K120" s="10">
        <v>12.4</v>
      </c>
      <c r="L120" s="10">
        <v>7</v>
      </c>
    </row>
    <row r="121" spans="2:12">
      <c r="B121" s="56">
        <v>2004</v>
      </c>
      <c r="C121" s="10">
        <v>12.8</v>
      </c>
      <c r="D121" s="10">
        <v>8.4</v>
      </c>
      <c r="E121" s="10">
        <v>7.6</v>
      </c>
      <c r="F121" s="10">
        <v>5.4</v>
      </c>
      <c r="G121" s="10">
        <v>2.2000000000000002</v>
      </c>
      <c r="H121" s="10">
        <v>10.4</v>
      </c>
      <c r="I121" s="10">
        <v>6.2</v>
      </c>
      <c r="J121" s="10">
        <v>30.8</v>
      </c>
      <c r="K121" s="10">
        <v>12.2</v>
      </c>
      <c r="L121" s="10">
        <v>6.8</v>
      </c>
    </row>
    <row r="122" spans="2:12">
      <c r="B122" s="56">
        <v>2005</v>
      </c>
      <c r="C122" s="10">
        <v>12.6</v>
      </c>
      <c r="D122" s="10">
        <v>8.6</v>
      </c>
      <c r="E122" s="10">
        <v>7.8</v>
      </c>
      <c r="F122" s="10">
        <v>5.4</v>
      </c>
      <c r="G122" s="10">
        <v>2.4</v>
      </c>
      <c r="H122" s="10">
        <v>10.6</v>
      </c>
      <c r="I122" s="10">
        <v>6.3</v>
      </c>
      <c r="J122" s="10">
        <v>40.1</v>
      </c>
      <c r="K122" s="10">
        <v>12</v>
      </c>
      <c r="L122" s="10">
        <v>6.8</v>
      </c>
    </row>
    <row r="123" spans="2:12">
      <c r="B123" s="56">
        <v>2006</v>
      </c>
      <c r="C123" s="10">
        <v>12.6</v>
      </c>
      <c r="D123" s="10">
        <v>8.5</v>
      </c>
      <c r="E123" s="10">
        <v>7.4</v>
      </c>
      <c r="F123" s="10">
        <v>5.2</v>
      </c>
      <c r="G123" s="10">
        <v>2.2000000000000002</v>
      </c>
      <c r="H123" s="10">
        <v>10</v>
      </c>
      <c r="I123" s="10">
        <v>5.9</v>
      </c>
      <c r="J123" s="10">
        <v>21.2</v>
      </c>
      <c r="K123" s="10">
        <v>11.7</v>
      </c>
      <c r="L123" s="10">
        <v>6.9</v>
      </c>
    </row>
    <row r="124" spans="2:12">
      <c r="B124" s="56">
        <v>2007</v>
      </c>
      <c r="C124" s="10">
        <v>12.4</v>
      </c>
      <c r="D124" s="10">
        <v>8.6</v>
      </c>
      <c r="E124" s="10">
        <v>8</v>
      </c>
      <c r="F124" s="10">
        <v>5.6</v>
      </c>
      <c r="G124" s="10">
        <v>2.4</v>
      </c>
      <c r="H124" s="10">
        <v>10.1</v>
      </c>
      <c r="I124" s="10">
        <v>5.7</v>
      </c>
      <c r="J124" s="10">
        <v>25.6</v>
      </c>
      <c r="K124" s="10">
        <v>11.3</v>
      </c>
      <c r="L124" s="10">
        <v>6.8</v>
      </c>
    </row>
    <row r="125" spans="2:12">
      <c r="B125" s="56">
        <v>2008</v>
      </c>
      <c r="C125" s="10">
        <v>12.1</v>
      </c>
      <c r="D125" s="10">
        <v>8.8000000000000007</v>
      </c>
      <c r="E125" s="10">
        <v>7.4</v>
      </c>
      <c r="F125" s="10">
        <v>5</v>
      </c>
      <c r="G125" s="10">
        <v>2.4</v>
      </c>
      <c r="H125" s="10">
        <v>10.4</v>
      </c>
      <c r="I125" s="10">
        <v>6.2</v>
      </c>
      <c r="J125" s="10">
        <v>26.4</v>
      </c>
      <c r="K125" s="10">
        <v>11.1</v>
      </c>
      <c r="L125" s="10">
        <v>6.7</v>
      </c>
    </row>
    <row r="126" spans="2:12">
      <c r="B126" s="56">
        <v>2009</v>
      </c>
      <c r="C126" s="10">
        <v>11.8</v>
      </c>
      <c r="D126" s="10">
        <v>8.6999999999999993</v>
      </c>
      <c r="E126" s="10">
        <v>7.5</v>
      </c>
      <c r="F126" s="10">
        <v>5.0999999999999996</v>
      </c>
      <c r="G126" s="10">
        <v>2.4</v>
      </c>
      <c r="H126" s="10">
        <v>9.8000000000000007</v>
      </c>
      <c r="I126" s="10">
        <v>5.8</v>
      </c>
      <c r="J126" s="10">
        <v>28.1</v>
      </c>
      <c r="K126" s="10">
        <v>10.8</v>
      </c>
      <c r="L126" s="10">
        <v>6.6</v>
      </c>
    </row>
    <row r="127" spans="2:12">
      <c r="B127" s="56"/>
      <c r="C127" s="10"/>
      <c r="D127" s="10"/>
      <c r="E127" s="10"/>
      <c r="F127" s="10"/>
      <c r="G127" s="10"/>
      <c r="H127" s="10"/>
      <c r="I127" s="10"/>
      <c r="J127" s="10"/>
      <c r="K127" s="10"/>
      <c r="L127" s="10"/>
    </row>
    <row r="128" spans="2:12">
      <c r="B128" s="56">
        <v>2010</v>
      </c>
      <c r="C128" s="10">
        <v>11.6</v>
      </c>
      <c r="D128" s="10">
        <v>8.9</v>
      </c>
      <c r="E128" s="10">
        <v>7.1</v>
      </c>
      <c r="F128" s="10">
        <v>4.8</v>
      </c>
      <c r="G128" s="10">
        <v>2.2999999999999998</v>
      </c>
      <c r="H128" s="10">
        <v>8.8000000000000007</v>
      </c>
      <c r="I128" s="10">
        <v>4.7</v>
      </c>
      <c r="J128" s="10">
        <v>42.8</v>
      </c>
      <c r="K128" s="10">
        <v>11</v>
      </c>
      <c r="L128" s="10">
        <v>7.1</v>
      </c>
    </row>
    <row r="129" spans="2:12">
      <c r="B129" s="56">
        <v>2011</v>
      </c>
      <c r="C129" s="10">
        <v>11.6</v>
      </c>
      <c r="D129" s="10">
        <v>9.1</v>
      </c>
      <c r="E129" s="10">
        <v>6.6</v>
      </c>
      <c r="F129" s="10">
        <v>4.4000000000000004</v>
      </c>
      <c r="G129" s="10">
        <v>2.2000000000000002</v>
      </c>
      <c r="H129" s="10">
        <v>9.5</v>
      </c>
      <c r="I129" s="10">
        <v>6</v>
      </c>
      <c r="J129" s="10">
        <v>37.299999999999997</v>
      </c>
      <c r="K129" s="10">
        <v>11.4</v>
      </c>
      <c r="L129" s="10">
        <v>6.9</v>
      </c>
    </row>
    <row r="130" spans="2:12">
      <c r="B130" s="56">
        <v>2012</v>
      </c>
      <c r="C130" s="10">
        <v>11.4</v>
      </c>
      <c r="D130" s="10">
        <v>9.1</v>
      </c>
      <c r="E130" s="10">
        <v>7.1</v>
      </c>
      <c r="F130" s="10">
        <v>4.8</v>
      </c>
      <c r="G130" s="10">
        <v>2.2000000000000002</v>
      </c>
      <c r="H130" s="10">
        <v>9.1</v>
      </c>
      <c r="I130" s="10">
        <v>5</v>
      </c>
      <c r="J130" s="10">
        <v>23.1</v>
      </c>
      <c r="K130" s="10">
        <v>11.4</v>
      </c>
      <c r="L130" s="10">
        <v>6.7</v>
      </c>
    </row>
    <row r="131" spans="2:12">
      <c r="B131" s="56">
        <v>2013</v>
      </c>
      <c r="C131" s="10">
        <v>11.5</v>
      </c>
      <c r="D131" s="10">
        <v>9.3000000000000007</v>
      </c>
      <c r="E131" s="10">
        <v>7</v>
      </c>
      <c r="F131" s="10">
        <v>4.8</v>
      </c>
      <c r="G131" s="10">
        <v>2.2000000000000002</v>
      </c>
      <c r="H131" s="10">
        <v>8.5</v>
      </c>
      <c r="I131" s="10">
        <v>4.7</v>
      </c>
      <c r="J131" s="10">
        <v>30.8</v>
      </c>
      <c r="K131" s="10">
        <v>11.2</v>
      </c>
      <c r="L131" s="10">
        <v>6.4</v>
      </c>
    </row>
    <row r="132" spans="2:12">
      <c r="B132" s="57"/>
      <c r="C132" s="67"/>
      <c r="D132" s="67"/>
      <c r="E132" s="67"/>
      <c r="F132" s="67"/>
      <c r="G132" s="67"/>
      <c r="H132" s="67"/>
      <c r="I132" s="67"/>
      <c r="J132" s="67"/>
      <c r="K132" s="67"/>
      <c r="L132" s="67"/>
    </row>
    <row r="133" spans="2:12" ht="146.25" customHeight="1">
      <c r="B133" s="284" t="s">
        <v>309</v>
      </c>
      <c r="C133" s="280"/>
      <c r="D133" s="280"/>
      <c r="E133" s="280"/>
      <c r="F133" s="280"/>
      <c r="G133" s="280"/>
      <c r="H133" s="280"/>
      <c r="I133" s="280"/>
      <c r="J133" s="280"/>
      <c r="K133" s="280"/>
      <c r="L133" s="280"/>
    </row>
    <row r="134" spans="2:12" ht="47.25" customHeight="1">
      <c r="B134" s="281" t="s">
        <v>594</v>
      </c>
      <c r="C134" s="280"/>
      <c r="D134" s="280"/>
      <c r="E134" s="280"/>
      <c r="F134" s="280"/>
      <c r="G134" s="280"/>
      <c r="H134" s="280"/>
      <c r="I134" s="280"/>
      <c r="J134" s="280"/>
      <c r="K134" s="280"/>
      <c r="L134" s="280"/>
    </row>
  </sheetData>
  <mergeCells count="6">
    <mergeCell ref="B133:L133"/>
    <mergeCell ref="B134:L134"/>
    <mergeCell ref="B5:B6"/>
    <mergeCell ref="C5:C6"/>
    <mergeCell ref="K5:K6"/>
    <mergeCell ref="L5:L6"/>
  </mergeCells>
  <phoneticPr fontId="0" type="noConversion"/>
  <printOptions horizontalCentered="1"/>
  <pageMargins left="0.5" right="0.25" top="0.5" bottom="0.25" header="0" footer="0"/>
  <pageSetup scale="69" orientation="portrait" horizontalDpi="4294967292" verticalDpi="429496729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99</v>
      </c>
      <c r="C2" s="4"/>
      <c r="D2" s="4"/>
      <c r="E2" s="4"/>
      <c r="F2" s="4"/>
      <c r="G2" s="4"/>
      <c r="H2" s="4"/>
      <c r="I2" s="4"/>
      <c r="J2" s="4"/>
      <c r="K2" s="4"/>
      <c r="L2" s="4"/>
    </row>
    <row r="3" spans="1:12" ht="15.75">
      <c r="B3" s="5" t="s">
        <v>100</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41</v>
      </c>
      <c r="E7" s="174">
        <v>60.5</v>
      </c>
      <c r="F7" s="174">
        <v>24.3</v>
      </c>
      <c r="G7" s="174">
        <v>40.9</v>
      </c>
      <c r="H7" s="174">
        <v>59.3</v>
      </c>
      <c r="I7" s="174">
        <v>25</v>
      </c>
      <c r="J7" s="174">
        <v>42.7</v>
      </c>
      <c r="K7" s="174">
        <v>73.900000000000006</v>
      </c>
      <c r="L7" s="174">
        <v>17.100000000000001</v>
      </c>
    </row>
    <row r="8" spans="1:12">
      <c r="B8" s="11"/>
      <c r="C8" s="157" t="s">
        <v>252</v>
      </c>
      <c r="D8" s="160">
        <v>39</v>
      </c>
      <c r="E8" s="160">
        <v>58.3</v>
      </c>
      <c r="F8" s="160">
        <v>22.2</v>
      </c>
      <c r="G8" s="160">
        <v>38.9</v>
      </c>
      <c r="H8" s="160">
        <v>57.9</v>
      </c>
      <c r="I8" s="160">
        <v>22.3</v>
      </c>
      <c r="J8" s="160">
        <v>40.700000000000003</v>
      </c>
      <c r="K8" s="160">
        <v>63.7</v>
      </c>
      <c r="L8" s="160">
        <v>21.4</v>
      </c>
    </row>
    <row r="9" spans="1:12">
      <c r="B9" s="11"/>
      <c r="C9" s="157" t="s">
        <v>253</v>
      </c>
      <c r="D9" s="160">
        <v>35.9</v>
      </c>
      <c r="E9" s="160">
        <v>52.3</v>
      </c>
      <c r="F9" s="160">
        <v>21.6</v>
      </c>
      <c r="G9" s="160">
        <v>35.6</v>
      </c>
      <c r="H9" s="160">
        <v>51.7</v>
      </c>
      <c r="I9" s="160">
        <v>21.4</v>
      </c>
      <c r="J9" s="160">
        <v>37.799999999999997</v>
      </c>
      <c r="K9" s="160">
        <v>56.9</v>
      </c>
      <c r="L9" s="160">
        <v>21.4</v>
      </c>
    </row>
    <row r="10" spans="1:12">
      <c r="B10" s="11"/>
      <c r="C10" s="157" t="s">
        <v>254</v>
      </c>
      <c r="D10" s="160">
        <v>34.299999999999997</v>
      </c>
      <c r="E10" s="160">
        <v>50.6</v>
      </c>
      <c r="F10" s="160">
        <v>20</v>
      </c>
      <c r="G10" s="160">
        <v>34.1</v>
      </c>
      <c r="H10" s="160">
        <v>50.3</v>
      </c>
      <c r="I10" s="160">
        <v>19.7</v>
      </c>
      <c r="J10" s="160">
        <v>35.9</v>
      </c>
      <c r="K10" s="160">
        <v>54.8</v>
      </c>
      <c r="L10" s="160">
        <v>21</v>
      </c>
    </row>
    <row r="11" spans="1:12">
      <c r="B11" s="11"/>
      <c r="C11" s="157" t="s">
        <v>255</v>
      </c>
      <c r="D11" s="160">
        <v>34.9</v>
      </c>
      <c r="E11" s="160">
        <v>51.2</v>
      </c>
      <c r="F11" s="160">
        <v>20.9</v>
      </c>
      <c r="G11" s="160">
        <v>34.6</v>
      </c>
      <c r="H11" s="160">
        <v>50.2</v>
      </c>
      <c r="I11" s="160">
        <v>21</v>
      </c>
      <c r="J11" s="160">
        <v>37.9</v>
      </c>
      <c r="K11" s="160">
        <v>60.8</v>
      </c>
      <c r="L11" s="160">
        <v>19.7</v>
      </c>
    </row>
    <row r="12" spans="1:12" ht="15.75">
      <c r="B12" s="156"/>
      <c r="C12" s="157" t="s">
        <v>256</v>
      </c>
      <c r="D12" s="160">
        <v>37.1</v>
      </c>
      <c r="E12" s="160">
        <v>54.4</v>
      </c>
      <c r="F12" s="160">
        <v>22.3</v>
      </c>
      <c r="G12" s="160">
        <v>37</v>
      </c>
      <c r="H12" s="160">
        <v>53.5</v>
      </c>
      <c r="I12" s="160">
        <v>22.7</v>
      </c>
      <c r="J12" s="160">
        <v>39.200000000000003</v>
      </c>
      <c r="K12" s="160">
        <v>64.7</v>
      </c>
      <c r="L12" s="160">
        <v>18.7</v>
      </c>
    </row>
    <row r="13" spans="1:12">
      <c r="B13" s="11"/>
      <c r="C13" s="157" t="s">
        <v>257</v>
      </c>
      <c r="D13" s="160">
        <v>36.1</v>
      </c>
      <c r="E13" s="160">
        <v>52.9</v>
      </c>
      <c r="F13" s="160">
        <v>22</v>
      </c>
      <c r="G13" s="160">
        <v>36.1</v>
      </c>
      <c r="H13" s="160">
        <v>52</v>
      </c>
      <c r="I13" s="160">
        <v>22.5</v>
      </c>
      <c r="J13" s="160">
        <v>37</v>
      </c>
      <c r="K13" s="160">
        <v>62</v>
      </c>
      <c r="L13" s="160">
        <v>17.5</v>
      </c>
    </row>
    <row r="14" spans="1:12">
      <c r="B14" s="11"/>
      <c r="C14" s="157" t="s">
        <v>258</v>
      </c>
      <c r="D14" s="160">
        <v>35.1</v>
      </c>
      <c r="E14" s="160">
        <v>50.7</v>
      </c>
      <c r="F14" s="160">
        <v>21.6</v>
      </c>
      <c r="G14" s="160">
        <v>34.700000000000003</v>
      </c>
      <c r="H14" s="160">
        <v>50.1</v>
      </c>
      <c r="I14" s="160">
        <v>21.2</v>
      </c>
      <c r="J14" s="160">
        <v>39.6</v>
      </c>
      <c r="K14" s="160">
        <v>58.8</v>
      </c>
      <c r="L14" s="160">
        <v>24.4</v>
      </c>
    </row>
    <row r="15" spans="1:12" ht="15.75">
      <c r="B15" s="156" t="s">
        <v>52</v>
      </c>
      <c r="C15" s="157" t="s">
        <v>259</v>
      </c>
      <c r="D15" s="160">
        <v>35.9</v>
      </c>
      <c r="E15" s="160">
        <v>51.5</v>
      </c>
      <c r="F15" s="160">
        <v>22.7</v>
      </c>
      <c r="G15" s="160">
        <v>35.799999999999997</v>
      </c>
      <c r="H15" s="160">
        <v>51.4</v>
      </c>
      <c r="I15" s="160">
        <v>22.4</v>
      </c>
      <c r="J15" s="160">
        <v>38.5</v>
      </c>
      <c r="K15" s="160">
        <v>56.5</v>
      </c>
      <c r="L15" s="160">
        <v>24.4</v>
      </c>
    </row>
    <row r="16" spans="1:12">
      <c r="B16" s="11"/>
      <c r="C16" s="157" t="s">
        <v>260</v>
      </c>
      <c r="D16" s="160">
        <v>36</v>
      </c>
      <c r="E16" s="160">
        <v>49.7</v>
      </c>
      <c r="F16" s="160">
        <v>24.2</v>
      </c>
      <c r="G16" s="160">
        <v>35.5</v>
      </c>
      <c r="H16" s="160">
        <v>49</v>
      </c>
      <c r="I16" s="160">
        <v>23.8</v>
      </c>
      <c r="J16" s="160">
        <v>39.4</v>
      </c>
      <c r="K16" s="160">
        <v>57.2</v>
      </c>
      <c r="L16" s="160">
        <v>25.6</v>
      </c>
    </row>
    <row r="17" spans="2:12">
      <c r="B17" s="11"/>
      <c r="C17" s="157" t="s">
        <v>167</v>
      </c>
      <c r="D17" s="160">
        <v>35.1</v>
      </c>
      <c r="E17" s="160">
        <v>50.9</v>
      </c>
      <c r="F17" s="160">
        <v>21.9</v>
      </c>
      <c r="G17" s="160">
        <v>34.9</v>
      </c>
      <c r="H17" s="160">
        <v>50.2</v>
      </c>
      <c r="I17" s="160">
        <v>22</v>
      </c>
      <c r="J17" s="160">
        <v>35.9</v>
      </c>
      <c r="K17" s="160">
        <v>56.6</v>
      </c>
      <c r="L17" s="160">
        <v>19.600000000000001</v>
      </c>
    </row>
    <row r="18" spans="2:12">
      <c r="B18" s="11"/>
      <c r="C18" s="157" t="s">
        <v>168</v>
      </c>
      <c r="D18" s="160">
        <v>33.4</v>
      </c>
      <c r="E18" s="160">
        <v>46.3</v>
      </c>
      <c r="F18" s="160">
        <v>22.4</v>
      </c>
      <c r="G18" s="160">
        <v>32.700000000000003</v>
      </c>
      <c r="H18" s="160">
        <v>44.7</v>
      </c>
      <c r="I18" s="160">
        <v>22.3</v>
      </c>
      <c r="J18" s="160">
        <v>38.200000000000003</v>
      </c>
      <c r="K18" s="160">
        <v>56.6</v>
      </c>
      <c r="L18" s="160">
        <v>23.4</v>
      </c>
    </row>
    <row r="19" spans="2:12">
      <c r="B19" s="11"/>
      <c r="C19" s="157" t="s">
        <v>169</v>
      </c>
      <c r="D19" s="160">
        <v>31.1</v>
      </c>
      <c r="E19" s="160">
        <v>44.3</v>
      </c>
      <c r="F19" s="160">
        <v>19.8</v>
      </c>
      <c r="G19" s="160">
        <v>30.3</v>
      </c>
      <c r="H19" s="160">
        <v>43.1</v>
      </c>
      <c r="I19" s="160">
        <v>19.3</v>
      </c>
      <c r="J19" s="160">
        <v>35.6</v>
      </c>
      <c r="K19" s="160">
        <v>53.4</v>
      </c>
      <c r="L19" s="160">
        <v>21.5</v>
      </c>
    </row>
    <row r="20" spans="2:12">
      <c r="B20" s="11"/>
      <c r="C20" s="157" t="s">
        <v>170</v>
      </c>
      <c r="D20" s="160">
        <v>30.5</v>
      </c>
      <c r="E20" s="160">
        <v>41.4</v>
      </c>
      <c r="F20" s="160">
        <v>20.6</v>
      </c>
      <c r="G20" s="160">
        <v>29.5</v>
      </c>
      <c r="H20" s="160">
        <v>39.6</v>
      </c>
      <c r="I20" s="160">
        <v>20.2</v>
      </c>
      <c r="J20" s="160">
        <v>36.4</v>
      </c>
      <c r="K20" s="160">
        <v>52.5</v>
      </c>
      <c r="L20" s="160">
        <v>22.4</v>
      </c>
    </row>
    <row r="21" spans="2:12">
      <c r="B21" s="11"/>
      <c r="C21" s="157">
        <v>1994</v>
      </c>
      <c r="D21" s="160">
        <v>31.5</v>
      </c>
      <c r="E21" s="160">
        <v>43.2</v>
      </c>
      <c r="F21" s="160">
        <v>21.5</v>
      </c>
      <c r="G21" s="160">
        <v>31</v>
      </c>
      <c r="H21" s="160">
        <v>42.4</v>
      </c>
      <c r="I21" s="160">
        <v>21</v>
      </c>
      <c r="J21" s="160">
        <v>33.1</v>
      </c>
      <c r="K21" s="160">
        <v>47.9</v>
      </c>
      <c r="L21" s="160">
        <v>21.4</v>
      </c>
    </row>
    <row r="22" spans="2:12" s="14" customFormat="1">
      <c r="B22" s="11"/>
      <c r="C22" s="157">
        <v>1995</v>
      </c>
      <c r="D22" s="160">
        <v>33.4</v>
      </c>
      <c r="E22" s="160">
        <v>45.9</v>
      </c>
      <c r="F22" s="160">
        <v>22.8</v>
      </c>
      <c r="G22" s="160">
        <v>32.5</v>
      </c>
      <c r="H22" s="160">
        <v>44.2</v>
      </c>
      <c r="I22" s="160">
        <v>22.3</v>
      </c>
      <c r="J22" s="160">
        <v>38.200000000000003</v>
      </c>
      <c r="K22" s="160">
        <v>58.5</v>
      </c>
      <c r="L22" s="160">
        <v>23.1</v>
      </c>
    </row>
    <row r="23" spans="2:12">
      <c r="B23" s="11"/>
      <c r="C23" s="157">
        <v>1996</v>
      </c>
      <c r="D23" s="160">
        <v>32.200000000000003</v>
      </c>
      <c r="E23" s="160">
        <v>45.1</v>
      </c>
      <c r="F23" s="160">
        <v>21.7</v>
      </c>
      <c r="G23" s="160">
        <v>31.5</v>
      </c>
      <c r="H23" s="160">
        <v>43.4</v>
      </c>
      <c r="I23" s="160">
        <v>21.7</v>
      </c>
      <c r="J23" s="160">
        <v>35.799999999999997</v>
      </c>
      <c r="K23" s="160">
        <v>56.5</v>
      </c>
      <c r="L23" s="160">
        <v>19.8</v>
      </c>
    </row>
    <row r="24" spans="2:12">
      <c r="B24" s="11"/>
      <c r="C24" s="157">
        <v>1997</v>
      </c>
      <c r="D24" s="160">
        <v>32.5</v>
      </c>
      <c r="E24" s="160">
        <v>43.7</v>
      </c>
      <c r="F24" s="160">
        <v>22.7</v>
      </c>
      <c r="G24" s="160">
        <v>31</v>
      </c>
      <c r="H24" s="160">
        <v>41.6</v>
      </c>
      <c r="I24" s="160">
        <v>21.5</v>
      </c>
      <c r="J24" s="160">
        <v>42</v>
      </c>
      <c r="K24" s="160">
        <v>59.1</v>
      </c>
      <c r="L24" s="160">
        <v>28.4</v>
      </c>
    </row>
    <row r="25" spans="2:12">
      <c r="B25" s="11"/>
      <c r="C25" s="157">
        <v>1998</v>
      </c>
      <c r="D25" s="160">
        <v>32</v>
      </c>
      <c r="E25" s="160">
        <v>44.4</v>
      </c>
      <c r="F25" s="160">
        <v>21.1</v>
      </c>
      <c r="G25" s="160">
        <v>31.1</v>
      </c>
      <c r="H25" s="160">
        <v>42.6</v>
      </c>
      <c r="I25" s="160">
        <v>20.8</v>
      </c>
      <c r="J25" s="160">
        <v>38.1</v>
      </c>
      <c r="K25" s="160">
        <v>58.1</v>
      </c>
      <c r="L25" s="160">
        <v>22.1</v>
      </c>
    </row>
    <row r="26" spans="2:12">
      <c r="B26" s="11"/>
      <c r="C26" s="157">
        <v>1999</v>
      </c>
      <c r="D26" s="160">
        <v>32.4</v>
      </c>
      <c r="E26" s="160">
        <v>44.9</v>
      </c>
      <c r="F26" s="160">
        <v>21.5</v>
      </c>
      <c r="G26" s="160">
        <v>31.3</v>
      </c>
      <c r="H26" s="160">
        <v>43.5</v>
      </c>
      <c r="I26" s="160">
        <v>20.5</v>
      </c>
      <c r="J26" s="160">
        <v>39.5</v>
      </c>
      <c r="K26" s="160">
        <v>55.3</v>
      </c>
      <c r="L26" s="160">
        <v>26.8</v>
      </c>
    </row>
    <row r="27" spans="2:12">
      <c r="B27" s="11"/>
      <c r="C27" s="157">
        <v>2000</v>
      </c>
      <c r="D27" s="160">
        <v>33</v>
      </c>
      <c r="E27" s="160">
        <v>46</v>
      </c>
      <c r="F27" s="160">
        <v>21.4</v>
      </c>
      <c r="G27" s="160">
        <v>31.9</v>
      </c>
      <c r="H27" s="160">
        <v>44.1</v>
      </c>
      <c r="I27" s="160">
        <v>20.7</v>
      </c>
      <c r="J27" s="160">
        <v>41.4</v>
      </c>
      <c r="K27" s="160">
        <v>63.1</v>
      </c>
      <c r="L27" s="160">
        <v>24.5</v>
      </c>
    </row>
    <row r="28" spans="2:12">
      <c r="B28" s="11"/>
      <c r="C28" s="8">
        <v>2001</v>
      </c>
      <c r="D28" s="160">
        <v>32.799999999999997</v>
      </c>
      <c r="E28" s="160">
        <v>45.4</v>
      </c>
      <c r="F28" s="160">
        <v>21.6</v>
      </c>
      <c r="G28" s="160">
        <v>32.1</v>
      </c>
      <c r="H28" s="160">
        <v>44.7</v>
      </c>
      <c r="I28" s="160">
        <v>20.7</v>
      </c>
      <c r="J28" s="160">
        <v>38.799999999999997</v>
      </c>
      <c r="K28" s="160">
        <v>52.7</v>
      </c>
      <c r="L28" s="160">
        <v>26.9</v>
      </c>
    </row>
    <row r="29" spans="2:12">
      <c r="B29" s="11"/>
      <c r="C29" s="157">
        <v>2002</v>
      </c>
      <c r="D29" s="159">
        <v>32.6</v>
      </c>
      <c r="E29" s="159">
        <v>45.1</v>
      </c>
      <c r="F29" s="159">
        <v>21.4</v>
      </c>
      <c r="G29" s="159">
        <v>31.6</v>
      </c>
      <c r="H29" s="159">
        <v>43.5</v>
      </c>
      <c r="I29" s="159">
        <v>20.8</v>
      </c>
      <c r="J29" s="159">
        <v>39.700000000000003</v>
      </c>
      <c r="K29" s="159">
        <v>59.3</v>
      </c>
      <c r="L29" s="159">
        <v>23.8</v>
      </c>
    </row>
    <row r="30" spans="2:12">
      <c r="B30" s="11"/>
      <c r="C30" s="157">
        <v>2003</v>
      </c>
      <c r="D30" s="159">
        <v>32.6</v>
      </c>
      <c r="E30" s="159">
        <v>44.4</v>
      </c>
      <c r="F30" s="159">
        <v>22</v>
      </c>
      <c r="G30" s="159">
        <v>32.200000000000003</v>
      </c>
      <c r="H30" s="159">
        <v>43.9</v>
      </c>
      <c r="I30" s="159">
        <v>21.6</v>
      </c>
      <c r="J30" s="159">
        <v>35.700000000000003</v>
      </c>
      <c r="K30" s="159">
        <v>50.1</v>
      </c>
      <c r="L30" s="159">
        <v>23.9</v>
      </c>
    </row>
    <row r="31" spans="2:12">
      <c r="B31" s="11"/>
      <c r="C31" s="157">
        <v>2004</v>
      </c>
      <c r="D31" s="159">
        <v>32.700000000000003</v>
      </c>
      <c r="E31" s="159">
        <v>44.5</v>
      </c>
      <c r="F31" s="159">
        <v>22.4</v>
      </c>
      <c r="G31" s="159">
        <v>31.8</v>
      </c>
      <c r="H31" s="159">
        <v>42.9</v>
      </c>
      <c r="I31" s="159">
        <v>22</v>
      </c>
      <c r="J31" s="159">
        <v>35.9</v>
      </c>
      <c r="K31" s="159">
        <v>55.1</v>
      </c>
      <c r="L31" s="159">
        <v>21.7</v>
      </c>
    </row>
    <row r="32" spans="2:12">
      <c r="B32" s="11"/>
      <c r="C32" s="157">
        <v>2005</v>
      </c>
      <c r="D32" s="159">
        <v>33.799999999999997</v>
      </c>
      <c r="E32" s="159">
        <v>46.5</v>
      </c>
      <c r="F32" s="159">
        <v>22.3</v>
      </c>
      <c r="G32" s="159">
        <v>33.5</v>
      </c>
      <c r="H32" s="159">
        <v>45.5</v>
      </c>
      <c r="I32" s="159">
        <v>22.6</v>
      </c>
      <c r="J32" s="159">
        <v>33.700000000000003</v>
      </c>
      <c r="K32" s="159">
        <v>49.2</v>
      </c>
      <c r="L32" s="159">
        <v>20.7</v>
      </c>
    </row>
    <row r="33" spans="2:13">
      <c r="B33" s="11"/>
      <c r="C33" s="157">
        <v>2006</v>
      </c>
      <c r="D33" s="159">
        <v>34.9</v>
      </c>
      <c r="E33" s="159">
        <v>48.9</v>
      </c>
      <c r="F33" s="159">
        <v>22.3</v>
      </c>
      <c r="G33" s="159">
        <v>34.700000000000003</v>
      </c>
      <c r="H33" s="159">
        <v>47.8</v>
      </c>
      <c r="I33" s="159">
        <v>22.8</v>
      </c>
      <c r="J33" s="159">
        <v>34.799999999999997</v>
      </c>
      <c r="K33" s="159">
        <v>55.6</v>
      </c>
      <c r="L33" s="159">
        <v>18.100000000000001</v>
      </c>
    </row>
    <row r="34" spans="2:13">
      <c r="B34" s="11"/>
      <c r="C34" s="157">
        <v>2007</v>
      </c>
      <c r="D34" s="159">
        <v>35.9</v>
      </c>
      <c r="E34" s="159">
        <v>49.3</v>
      </c>
      <c r="F34" s="159">
        <v>23.9</v>
      </c>
      <c r="G34" s="159">
        <v>34.9</v>
      </c>
      <c r="H34" s="159">
        <v>47.4</v>
      </c>
      <c r="I34" s="159">
        <v>23.3</v>
      </c>
      <c r="J34" s="159">
        <v>38.200000000000003</v>
      </c>
      <c r="K34" s="159">
        <v>58.2</v>
      </c>
      <c r="L34" s="159">
        <v>22.3</v>
      </c>
    </row>
    <row r="35" spans="2:13">
      <c r="B35" s="11"/>
      <c r="C35" s="157">
        <v>2008</v>
      </c>
      <c r="D35" s="159">
        <v>35.6</v>
      </c>
      <c r="E35" s="159">
        <v>48.6</v>
      </c>
      <c r="F35" s="159">
        <v>24</v>
      </c>
      <c r="G35" s="159">
        <v>35.700000000000003</v>
      </c>
      <c r="H35" s="159">
        <v>49</v>
      </c>
      <c r="I35" s="159">
        <v>23.6</v>
      </c>
      <c r="J35" s="159">
        <v>33.700000000000003</v>
      </c>
      <c r="K35" s="159">
        <v>44.3</v>
      </c>
      <c r="L35" s="159">
        <v>24.7</v>
      </c>
    </row>
    <row r="36" spans="2:13">
      <c r="B36" s="11"/>
      <c r="C36" s="157">
        <v>2009</v>
      </c>
      <c r="D36" s="159">
        <v>35.700000000000003</v>
      </c>
      <c r="E36" s="159">
        <v>49</v>
      </c>
      <c r="F36" s="159">
        <v>23.7</v>
      </c>
      <c r="G36" s="159">
        <v>34.700000000000003</v>
      </c>
      <c r="H36" s="159">
        <v>47.3</v>
      </c>
      <c r="I36" s="159">
        <v>23</v>
      </c>
      <c r="J36" s="159">
        <v>40.700000000000003</v>
      </c>
      <c r="K36" s="159">
        <v>59.7</v>
      </c>
      <c r="L36" s="159">
        <v>25.3</v>
      </c>
    </row>
    <row r="37" spans="2:13">
      <c r="B37" s="11"/>
      <c r="C37" s="157">
        <v>2010</v>
      </c>
      <c r="D37" s="159">
        <v>36.1</v>
      </c>
      <c r="E37" s="159">
        <v>48</v>
      </c>
      <c r="F37" s="159">
        <v>25.2</v>
      </c>
      <c r="G37" s="159">
        <v>36.1</v>
      </c>
      <c r="H37" s="159">
        <v>48.4</v>
      </c>
      <c r="I37" s="159">
        <v>24.8</v>
      </c>
      <c r="J37" s="159">
        <v>34.200000000000003</v>
      </c>
      <c r="K37" s="159">
        <v>44.5</v>
      </c>
      <c r="L37" s="159">
        <v>25.6</v>
      </c>
    </row>
    <row r="38" spans="2:13">
      <c r="B38" s="11"/>
      <c r="C38" s="157">
        <v>2011</v>
      </c>
      <c r="D38" s="159">
        <v>37.5</v>
      </c>
      <c r="E38" s="159">
        <v>50.4</v>
      </c>
      <c r="F38" s="159">
        <v>25.5</v>
      </c>
      <c r="G38" s="159">
        <v>37.6</v>
      </c>
      <c r="H38" s="159">
        <v>50.4</v>
      </c>
      <c r="I38" s="159">
        <v>25.4</v>
      </c>
      <c r="J38" s="159">
        <v>36.700000000000003</v>
      </c>
      <c r="K38" s="159">
        <v>50.6</v>
      </c>
      <c r="L38" s="159">
        <v>25.6</v>
      </c>
    </row>
    <row r="39" spans="2:13">
      <c r="B39" s="11"/>
      <c r="C39" s="157">
        <v>2012</v>
      </c>
      <c r="D39" s="159">
        <v>36.6</v>
      </c>
      <c r="E39" s="159">
        <v>48.5</v>
      </c>
      <c r="F39" s="159">
        <v>25.8</v>
      </c>
      <c r="G39" s="159">
        <v>37.200000000000003</v>
      </c>
      <c r="H39" s="159">
        <v>48.9</v>
      </c>
      <c r="I39" s="159">
        <v>26.4</v>
      </c>
      <c r="J39" s="159">
        <v>33.299999999999997</v>
      </c>
      <c r="K39" s="159">
        <v>46.3</v>
      </c>
      <c r="L39" s="159">
        <v>22.5</v>
      </c>
    </row>
    <row r="40" spans="2:13">
      <c r="B40" s="11"/>
      <c r="C40" s="157">
        <v>2013</v>
      </c>
      <c r="D40" s="159">
        <v>39.700000000000003</v>
      </c>
      <c r="E40" s="159">
        <v>53</v>
      </c>
      <c r="F40" s="159">
        <v>27.6</v>
      </c>
      <c r="G40" s="159">
        <v>40</v>
      </c>
      <c r="H40" s="159">
        <v>53</v>
      </c>
      <c r="I40" s="159">
        <v>27.7</v>
      </c>
      <c r="J40" s="159">
        <v>38.6</v>
      </c>
      <c r="K40" s="159">
        <v>55.2</v>
      </c>
      <c r="L40" s="159">
        <v>25.2</v>
      </c>
    </row>
    <row r="41" spans="2:13">
      <c r="B41" s="11"/>
      <c r="C41" s="157"/>
      <c r="D41" s="159"/>
      <c r="E41" s="159"/>
      <c r="F41" s="159"/>
      <c r="G41" s="159"/>
      <c r="H41" s="159"/>
      <c r="I41" s="159"/>
      <c r="J41" s="159"/>
      <c r="K41" s="159"/>
      <c r="L41" s="159"/>
    </row>
    <row r="42" spans="2:13">
      <c r="B42" s="64"/>
      <c r="C42" s="163" t="s">
        <v>166</v>
      </c>
      <c r="D42" s="179">
        <v>47.7</v>
      </c>
      <c r="E42" s="179">
        <v>70.5</v>
      </c>
      <c r="F42" s="179">
        <v>27.2</v>
      </c>
      <c r="G42" s="179">
        <v>46.5</v>
      </c>
      <c r="H42" s="179">
        <v>68.3</v>
      </c>
      <c r="I42" s="179">
        <v>26.6</v>
      </c>
      <c r="J42" s="186">
        <v>59.6</v>
      </c>
      <c r="K42" s="180">
        <v>93.5</v>
      </c>
      <c r="L42" s="186">
        <v>31.9</v>
      </c>
      <c r="M42" s="182"/>
    </row>
    <row r="43" spans="2:13">
      <c r="B43" s="11"/>
      <c r="C43" s="157" t="s">
        <v>252</v>
      </c>
      <c r="D43" s="46">
        <v>44.7</v>
      </c>
      <c r="E43" s="46">
        <v>66.599999999999994</v>
      </c>
      <c r="F43" s="46">
        <v>25.2</v>
      </c>
      <c r="G43" s="46">
        <v>44</v>
      </c>
      <c r="H43" s="46">
        <v>65.099999999999994</v>
      </c>
      <c r="I43" s="46">
        <v>25</v>
      </c>
      <c r="J43" s="187">
        <v>52.7</v>
      </c>
      <c r="K43" s="183">
        <v>84.9</v>
      </c>
      <c r="L43" s="187">
        <v>26.6</v>
      </c>
      <c r="M43" s="182"/>
    </row>
    <row r="44" spans="2:13">
      <c r="B44" s="11"/>
      <c r="C44" s="157" t="s">
        <v>253</v>
      </c>
      <c r="D44" s="46">
        <v>41.4</v>
      </c>
      <c r="E44" s="46">
        <v>61.4</v>
      </c>
      <c r="F44" s="46">
        <v>23.6</v>
      </c>
      <c r="G44" s="46">
        <v>40.700000000000003</v>
      </c>
      <c r="H44" s="46">
        <v>59.9</v>
      </c>
      <c r="I44" s="46">
        <v>23.3</v>
      </c>
      <c r="J44" s="187">
        <v>48.8</v>
      </c>
      <c r="K44" s="183">
        <v>78</v>
      </c>
      <c r="L44" s="187">
        <v>25.3</v>
      </c>
      <c r="M44" s="182"/>
    </row>
    <row r="45" spans="2:13">
      <c r="B45" s="11"/>
      <c r="C45" s="157" t="s">
        <v>254</v>
      </c>
      <c r="D45" s="46">
        <v>40.4</v>
      </c>
      <c r="E45" s="46">
        <v>59.5</v>
      </c>
      <c r="F45" s="46">
        <v>23.4</v>
      </c>
      <c r="G45" s="46">
        <v>39.5</v>
      </c>
      <c r="H45" s="46">
        <v>58</v>
      </c>
      <c r="I45" s="46">
        <v>23</v>
      </c>
      <c r="J45" s="187">
        <v>49.5</v>
      </c>
      <c r="K45" s="183">
        <v>77.3</v>
      </c>
      <c r="L45" s="187">
        <v>27.2</v>
      </c>
      <c r="M45" s="182"/>
    </row>
    <row r="46" spans="2:13">
      <c r="B46" s="11"/>
      <c r="C46" s="157" t="s">
        <v>255</v>
      </c>
      <c r="D46" s="46">
        <v>40.1</v>
      </c>
      <c r="E46" s="46">
        <v>59.1</v>
      </c>
      <c r="F46" s="46">
        <v>23.3</v>
      </c>
      <c r="G46" s="46">
        <v>39.4</v>
      </c>
      <c r="H46" s="46">
        <v>57.7</v>
      </c>
      <c r="I46" s="46">
        <v>23.2</v>
      </c>
      <c r="J46" s="187">
        <v>47.6</v>
      </c>
      <c r="K46" s="183">
        <v>75.5</v>
      </c>
      <c r="L46" s="187">
        <v>25.3</v>
      </c>
      <c r="M46" s="182"/>
    </row>
    <row r="47" spans="2:13" ht="15.75">
      <c r="B47" s="156"/>
      <c r="C47" s="157" t="s">
        <v>256</v>
      </c>
      <c r="D47" s="46">
        <v>39.9</v>
      </c>
      <c r="E47" s="46">
        <v>58.7</v>
      </c>
      <c r="F47" s="46">
        <v>23.4</v>
      </c>
      <c r="G47" s="46">
        <v>39</v>
      </c>
      <c r="H47" s="46">
        <v>57</v>
      </c>
      <c r="I47" s="46">
        <v>23</v>
      </c>
      <c r="J47" s="187">
        <v>49.3</v>
      </c>
      <c r="K47" s="183">
        <v>78.099999999999994</v>
      </c>
      <c r="L47" s="187">
        <v>26.2</v>
      </c>
      <c r="M47" s="182"/>
    </row>
    <row r="48" spans="2:13" ht="15.75">
      <c r="B48" s="165"/>
      <c r="C48" s="157" t="s">
        <v>257</v>
      </c>
      <c r="D48" s="46">
        <v>40</v>
      </c>
      <c r="E48" s="46">
        <v>58.9</v>
      </c>
      <c r="F48" s="46">
        <v>23.3</v>
      </c>
      <c r="G48" s="46">
        <v>39.1</v>
      </c>
      <c r="H48" s="46">
        <v>57.2</v>
      </c>
      <c r="I48" s="46">
        <v>23</v>
      </c>
      <c r="J48" s="187">
        <v>49.1</v>
      </c>
      <c r="K48" s="183">
        <v>78</v>
      </c>
      <c r="L48" s="187">
        <v>25.9</v>
      </c>
      <c r="M48" s="182"/>
    </row>
    <row r="49" spans="2:13" ht="15.75">
      <c r="B49" s="156" t="s">
        <v>54</v>
      </c>
      <c r="C49" s="157" t="s">
        <v>258</v>
      </c>
      <c r="D49" s="46">
        <v>39.6</v>
      </c>
      <c r="E49" s="46">
        <v>58</v>
      </c>
      <c r="F49" s="46">
        <v>23.4</v>
      </c>
      <c r="G49" s="46">
        <v>38.700000000000003</v>
      </c>
      <c r="H49" s="46">
        <v>56.1</v>
      </c>
      <c r="I49" s="46">
        <v>23.1</v>
      </c>
      <c r="J49" s="187">
        <v>49.3</v>
      </c>
      <c r="K49" s="183">
        <v>78</v>
      </c>
      <c r="L49" s="187">
        <v>26.2</v>
      </c>
      <c r="M49" s="182"/>
    </row>
    <row r="50" spans="2:13" ht="15.75">
      <c r="B50" s="165" t="s">
        <v>55</v>
      </c>
      <c r="C50" s="157" t="s">
        <v>259</v>
      </c>
      <c r="D50" s="46">
        <v>40.200000000000003</v>
      </c>
      <c r="E50" s="46">
        <v>58.6</v>
      </c>
      <c r="F50" s="46">
        <v>24</v>
      </c>
      <c r="G50" s="46">
        <v>39.1</v>
      </c>
      <c r="H50" s="46">
        <v>56.5</v>
      </c>
      <c r="I50" s="46">
        <v>23.6</v>
      </c>
      <c r="J50" s="187">
        <v>51.3</v>
      </c>
      <c r="K50" s="183">
        <v>81.5</v>
      </c>
      <c r="L50" s="187">
        <v>27.4</v>
      </c>
      <c r="M50" s="182"/>
    </row>
    <row r="51" spans="2:13">
      <c r="B51" s="11"/>
      <c r="C51" s="157" t="s">
        <v>260</v>
      </c>
      <c r="D51" s="46">
        <v>39</v>
      </c>
      <c r="E51" s="46">
        <v>56.5</v>
      </c>
      <c r="F51" s="46">
        <v>23.6</v>
      </c>
      <c r="G51" s="46">
        <v>37.9</v>
      </c>
      <c r="H51" s="46">
        <v>54.4</v>
      </c>
      <c r="I51" s="46">
        <v>23.2</v>
      </c>
      <c r="J51" s="184">
        <v>50.6</v>
      </c>
      <c r="K51" s="184">
        <v>79.8</v>
      </c>
      <c r="L51" s="184">
        <v>27.3</v>
      </c>
    </row>
    <row r="52" spans="2:13">
      <c r="B52" s="11"/>
      <c r="C52" s="157" t="s">
        <v>167</v>
      </c>
      <c r="D52" s="46">
        <v>37.5</v>
      </c>
      <c r="E52" s="46">
        <v>54.3</v>
      </c>
      <c r="F52" s="46">
        <v>22.6</v>
      </c>
      <c r="G52" s="46">
        <v>36.700000000000003</v>
      </c>
      <c r="H52" s="46">
        <v>52.7</v>
      </c>
      <c r="I52" s="46">
        <v>22.3</v>
      </c>
      <c r="J52" s="46">
        <v>45.8</v>
      </c>
      <c r="K52" s="46">
        <v>71.400000000000006</v>
      </c>
      <c r="L52" s="46">
        <v>25.3</v>
      </c>
    </row>
    <row r="53" spans="2:13">
      <c r="B53" s="11"/>
      <c r="C53" s="157" t="s">
        <v>168</v>
      </c>
      <c r="D53" s="46">
        <v>36</v>
      </c>
      <c r="E53" s="46">
        <v>51.9</v>
      </c>
      <c r="F53" s="46">
        <v>21.8</v>
      </c>
      <c r="G53" s="46">
        <v>35.1</v>
      </c>
      <c r="H53" s="46">
        <v>50.3</v>
      </c>
      <c r="I53" s="46">
        <v>21.6</v>
      </c>
      <c r="J53" s="46">
        <v>44.8</v>
      </c>
      <c r="K53" s="46">
        <v>69.900000000000006</v>
      </c>
      <c r="L53" s="46">
        <v>24.6</v>
      </c>
    </row>
    <row r="54" spans="2:13">
      <c r="B54" s="11"/>
      <c r="C54" s="157">
        <v>1992</v>
      </c>
      <c r="D54" s="46">
        <v>34.6</v>
      </c>
      <c r="E54" s="46">
        <v>50</v>
      </c>
      <c r="F54" s="46">
        <v>21</v>
      </c>
      <c r="G54" s="46">
        <v>33.9</v>
      </c>
      <c r="H54" s="46">
        <v>48.6</v>
      </c>
      <c r="I54" s="46">
        <v>20.7</v>
      </c>
      <c r="J54" s="46">
        <v>42.3</v>
      </c>
      <c r="K54" s="46">
        <v>65.599999999999994</v>
      </c>
      <c r="L54" s="46">
        <v>23.7</v>
      </c>
    </row>
    <row r="55" spans="2:13">
      <c r="B55" s="11"/>
      <c r="C55" s="158" t="s">
        <v>170</v>
      </c>
      <c r="D55" s="99">
        <v>35.700000000000003</v>
      </c>
      <c r="E55" s="99">
        <v>51.4</v>
      </c>
      <c r="F55" s="99">
        <v>21.8</v>
      </c>
      <c r="G55" s="99">
        <v>34.799999999999997</v>
      </c>
      <c r="H55" s="99">
        <v>49.9</v>
      </c>
      <c r="I55" s="99">
        <v>21.4</v>
      </c>
      <c r="J55" s="99">
        <v>44.3</v>
      </c>
      <c r="K55" s="99">
        <v>68.900000000000006</v>
      </c>
      <c r="L55" s="99">
        <v>24.6</v>
      </c>
    </row>
    <row r="56" spans="2:13">
      <c r="B56" s="166"/>
      <c r="C56" s="157">
        <v>1994</v>
      </c>
      <c r="D56" s="99">
        <v>35.700000000000003</v>
      </c>
      <c r="E56" s="184">
        <v>51.3</v>
      </c>
      <c r="F56" s="184">
        <v>21.9</v>
      </c>
      <c r="G56" s="184">
        <v>34.799999999999997</v>
      </c>
      <c r="H56" s="184">
        <v>49.8</v>
      </c>
      <c r="I56" s="184">
        <v>21.5</v>
      </c>
      <c r="J56" s="184">
        <v>43.9</v>
      </c>
      <c r="K56" s="184">
        <v>67.5</v>
      </c>
      <c r="L56" s="184">
        <v>25.1</v>
      </c>
    </row>
    <row r="57" spans="2:13" s="14" customFormat="1">
      <c r="B57" s="166"/>
      <c r="C57" s="158" t="s">
        <v>56</v>
      </c>
      <c r="D57" s="99">
        <v>36</v>
      </c>
      <c r="E57" s="185">
        <v>51.5</v>
      </c>
      <c r="F57" s="185">
        <v>22.4</v>
      </c>
      <c r="G57" s="185">
        <v>35.4</v>
      </c>
      <c r="H57" s="185">
        <v>50.1</v>
      </c>
      <c r="I57" s="185">
        <v>22.1</v>
      </c>
      <c r="J57" s="185">
        <v>43.5</v>
      </c>
      <c r="K57" s="185">
        <v>67</v>
      </c>
      <c r="L57" s="185">
        <v>24.7</v>
      </c>
    </row>
    <row r="58" spans="2:13">
      <c r="B58" s="166"/>
      <c r="C58" s="158" t="s">
        <v>57</v>
      </c>
      <c r="D58" s="99">
        <v>36.200000000000003</v>
      </c>
      <c r="E58" s="185">
        <v>50.9</v>
      </c>
      <c r="F58" s="185">
        <v>23</v>
      </c>
      <c r="G58" s="185">
        <v>35.700000000000003</v>
      </c>
      <c r="H58" s="185">
        <v>49.9</v>
      </c>
      <c r="I58" s="185">
        <v>22.8</v>
      </c>
      <c r="J58" s="185">
        <v>42.4</v>
      </c>
      <c r="K58" s="185">
        <v>64.099999999999994</v>
      </c>
      <c r="L58" s="185">
        <v>25</v>
      </c>
    </row>
    <row r="59" spans="2:13">
      <c r="B59" s="166"/>
      <c r="C59" s="158" t="s">
        <v>58</v>
      </c>
      <c r="D59" s="99">
        <v>36</v>
      </c>
      <c r="E59" s="185">
        <v>50.7</v>
      </c>
      <c r="F59" s="185">
        <v>23</v>
      </c>
      <c r="G59" s="185">
        <v>35.5</v>
      </c>
      <c r="H59" s="185">
        <v>49.7</v>
      </c>
      <c r="I59" s="185">
        <v>22.7</v>
      </c>
      <c r="J59" s="185">
        <v>42</v>
      </c>
      <c r="K59" s="185">
        <v>62.5</v>
      </c>
      <c r="L59" s="185">
        <v>25.2</v>
      </c>
    </row>
    <row r="60" spans="2:13">
      <c r="B60" s="166"/>
      <c r="C60" s="158" t="s">
        <v>59</v>
      </c>
      <c r="D60" s="185">
        <v>36.299999999999997</v>
      </c>
      <c r="E60" s="185">
        <v>50.9</v>
      </c>
      <c r="F60" s="185">
        <v>23.3</v>
      </c>
      <c r="G60" s="185">
        <v>36</v>
      </c>
      <c r="H60" s="185">
        <v>50.1</v>
      </c>
      <c r="I60" s="185">
        <v>23.3</v>
      </c>
      <c r="J60" s="185">
        <v>41.8</v>
      </c>
      <c r="K60" s="185">
        <v>63.2</v>
      </c>
      <c r="L60" s="185">
        <v>24.4</v>
      </c>
    </row>
    <row r="61" spans="2:13">
      <c r="B61" s="166"/>
      <c r="C61" s="157">
        <v>1999</v>
      </c>
      <c r="D61" s="100">
        <v>35.9</v>
      </c>
      <c r="E61" s="185">
        <v>50.6</v>
      </c>
      <c r="F61" s="185">
        <v>22.7</v>
      </c>
      <c r="G61" s="185">
        <v>35.700000000000003</v>
      </c>
      <c r="H61" s="185">
        <v>50</v>
      </c>
      <c r="I61" s="185">
        <v>22.7</v>
      </c>
      <c r="J61" s="185">
        <v>40.9</v>
      </c>
      <c r="K61" s="185">
        <v>62.1</v>
      </c>
      <c r="L61" s="185">
        <v>23.7</v>
      </c>
    </row>
    <row r="62" spans="2:13">
      <c r="B62" s="166"/>
      <c r="C62" s="8">
        <v>2000</v>
      </c>
      <c r="D62" s="100">
        <v>35.5</v>
      </c>
      <c r="E62" s="127">
        <v>50</v>
      </c>
      <c r="F62" s="127">
        <v>22.3</v>
      </c>
      <c r="G62" s="127">
        <v>35.5</v>
      </c>
      <c r="H62" s="127">
        <v>49.7</v>
      </c>
      <c r="I62" s="127">
        <v>22.5</v>
      </c>
      <c r="J62" s="127">
        <v>38.4</v>
      </c>
      <c r="K62" s="127">
        <v>58.8</v>
      </c>
      <c r="L62" s="127">
        <v>21.8</v>
      </c>
    </row>
    <row r="63" spans="2:13">
      <c r="B63" s="166"/>
      <c r="C63" s="8">
        <v>2001</v>
      </c>
      <c r="D63" s="100">
        <v>35.700000000000003</v>
      </c>
      <c r="E63" s="127">
        <v>50.2</v>
      </c>
      <c r="F63" s="127">
        <v>22.5</v>
      </c>
      <c r="G63" s="127">
        <v>36</v>
      </c>
      <c r="H63" s="127">
        <v>50.3</v>
      </c>
      <c r="I63" s="127">
        <v>22.8</v>
      </c>
      <c r="J63" s="127">
        <v>37.6</v>
      </c>
      <c r="K63" s="127">
        <v>56.9</v>
      </c>
      <c r="L63" s="127">
        <v>22</v>
      </c>
    </row>
    <row r="64" spans="2:13">
      <c r="B64" s="166"/>
      <c r="C64" s="8">
        <v>2002</v>
      </c>
      <c r="D64" s="100">
        <v>36.9</v>
      </c>
      <c r="E64" s="127">
        <v>51.5</v>
      </c>
      <c r="F64" s="127">
        <v>23.5</v>
      </c>
      <c r="G64" s="127">
        <v>37.5</v>
      </c>
      <c r="H64" s="127">
        <v>52</v>
      </c>
      <c r="I64" s="127">
        <v>24</v>
      </c>
      <c r="J64" s="127">
        <v>36.9</v>
      </c>
      <c r="K64" s="127">
        <v>56.2</v>
      </c>
      <c r="L64" s="127">
        <v>21.3</v>
      </c>
    </row>
    <row r="65" spans="2:12">
      <c r="B65" s="166"/>
      <c r="C65" s="8">
        <v>2003</v>
      </c>
      <c r="D65" s="100">
        <v>37.299999999999997</v>
      </c>
      <c r="E65" s="127">
        <v>51.8</v>
      </c>
      <c r="F65" s="127">
        <v>24.1</v>
      </c>
      <c r="G65" s="127">
        <v>38.200000000000003</v>
      </c>
      <c r="H65" s="127">
        <v>52.8</v>
      </c>
      <c r="I65" s="127">
        <v>24.7</v>
      </c>
      <c r="J65" s="127">
        <v>36.1</v>
      </c>
      <c r="K65" s="127">
        <v>53.9</v>
      </c>
      <c r="L65" s="127">
        <v>21.6</v>
      </c>
    </row>
    <row r="66" spans="2:12">
      <c r="B66" s="166"/>
      <c r="C66" s="8">
        <v>2004</v>
      </c>
      <c r="D66" s="100">
        <v>37.700000000000003</v>
      </c>
      <c r="E66" s="127">
        <v>52.1</v>
      </c>
      <c r="F66" s="127">
        <v>24.5</v>
      </c>
      <c r="G66" s="127">
        <v>38.799999999999997</v>
      </c>
      <c r="H66" s="127">
        <v>53.2</v>
      </c>
      <c r="I66" s="127">
        <v>25.3</v>
      </c>
      <c r="J66" s="127">
        <v>36.299999999999997</v>
      </c>
      <c r="K66" s="127">
        <v>54.4</v>
      </c>
      <c r="L66" s="127">
        <v>21.7</v>
      </c>
    </row>
    <row r="67" spans="2:12">
      <c r="B67" s="166"/>
      <c r="C67" s="8">
        <v>2005</v>
      </c>
      <c r="D67" s="100">
        <v>39.1</v>
      </c>
      <c r="E67" s="127">
        <v>54.2</v>
      </c>
      <c r="F67" s="127">
        <v>25</v>
      </c>
      <c r="G67" s="127">
        <v>40.1</v>
      </c>
      <c r="H67" s="127">
        <v>55.2</v>
      </c>
      <c r="I67" s="127">
        <v>25.8</v>
      </c>
      <c r="J67" s="127">
        <v>38.700000000000003</v>
      </c>
      <c r="K67" s="127">
        <v>58.1</v>
      </c>
      <c r="L67" s="127">
        <v>22.8</v>
      </c>
    </row>
    <row r="68" spans="2:12">
      <c r="B68" s="166"/>
      <c r="C68" s="8">
        <v>2006</v>
      </c>
      <c r="D68" s="100">
        <v>39.799999999999997</v>
      </c>
      <c r="E68" s="127">
        <v>55.2</v>
      </c>
      <c r="F68" s="127">
        <v>25.5</v>
      </c>
      <c r="G68" s="127">
        <v>41</v>
      </c>
      <c r="H68" s="127">
        <v>56.4</v>
      </c>
      <c r="I68" s="127">
        <v>26.4</v>
      </c>
      <c r="J68" s="127">
        <v>38.299999999999997</v>
      </c>
      <c r="K68" s="127">
        <v>57.5</v>
      </c>
      <c r="L68" s="127">
        <v>22.2</v>
      </c>
    </row>
    <row r="69" spans="2:12">
      <c r="B69" s="166"/>
      <c r="C69" s="8">
        <v>2007</v>
      </c>
      <c r="D69" s="100">
        <v>40</v>
      </c>
      <c r="E69" s="127">
        <v>55.2</v>
      </c>
      <c r="F69" s="127">
        <v>25.8</v>
      </c>
      <c r="G69" s="127">
        <v>41.5</v>
      </c>
      <c r="H69" s="127">
        <v>56.8</v>
      </c>
      <c r="I69" s="127">
        <v>26.9</v>
      </c>
      <c r="J69" s="127">
        <v>36.6</v>
      </c>
      <c r="K69" s="127">
        <v>54.8</v>
      </c>
      <c r="L69" s="127">
        <v>21.6</v>
      </c>
    </row>
    <row r="70" spans="2:12">
      <c r="B70" s="166"/>
      <c r="C70" s="8">
        <v>2008</v>
      </c>
      <c r="D70" s="100">
        <v>38.799999999999997</v>
      </c>
      <c r="E70" s="127">
        <v>53.6</v>
      </c>
      <c r="F70" s="127">
        <v>25.1</v>
      </c>
      <c r="G70" s="127">
        <v>40.700000000000003</v>
      </c>
      <c r="H70" s="127">
        <v>55.7</v>
      </c>
      <c r="I70" s="127">
        <v>26.5</v>
      </c>
      <c r="J70" s="127">
        <v>33.299999999999997</v>
      </c>
      <c r="K70" s="127">
        <v>49.4</v>
      </c>
      <c r="L70" s="127">
        <v>19.899999999999999</v>
      </c>
    </row>
    <row r="71" spans="2:12">
      <c r="B71" s="166"/>
      <c r="C71" s="8">
        <v>2009</v>
      </c>
      <c r="D71" s="100">
        <v>37.299999999999997</v>
      </c>
      <c r="E71" s="127">
        <v>51.1</v>
      </c>
      <c r="F71" s="127">
        <v>24.6</v>
      </c>
      <c r="G71" s="127">
        <v>39</v>
      </c>
      <c r="H71" s="127">
        <v>53</v>
      </c>
      <c r="I71" s="127">
        <v>25.9</v>
      </c>
      <c r="J71" s="127">
        <v>32</v>
      </c>
      <c r="K71" s="127">
        <v>47.2</v>
      </c>
      <c r="L71" s="127">
        <v>19.600000000000001</v>
      </c>
    </row>
    <row r="72" spans="2:12">
      <c r="B72" s="166"/>
      <c r="C72" s="8">
        <v>2010</v>
      </c>
      <c r="D72" s="100">
        <v>38</v>
      </c>
      <c r="E72" s="127">
        <v>51.5</v>
      </c>
      <c r="F72" s="127">
        <v>25.6</v>
      </c>
      <c r="G72" s="127">
        <v>40.299999999999997</v>
      </c>
      <c r="H72" s="127">
        <v>51.5</v>
      </c>
      <c r="I72" s="127">
        <v>27.3</v>
      </c>
      <c r="J72" s="127">
        <v>31.3</v>
      </c>
      <c r="K72" s="127">
        <v>46</v>
      </c>
      <c r="L72" s="127">
        <v>19.3</v>
      </c>
    </row>
    <row r="73" spans="2:12">
      <c r="B73" s="166"/>
      <c r="C73" s="8">
        <v>2011</v>
      </c>
      <c r="D73" s="100">
        <v>39.1</v>
      </c>
      <c r="E73" s="127">
        <v>52.8</v>
      </c>
      <c r="F73" s="127">
        <v>26.5</v>
      </c>
      <c r="G73" s="127">
        <v>41.6</v>
      </c>
      <c r="H73" s="127">
        <v>55.5</v>
      </c>
      <c r="I73" s="127">
        <v>28.4</v>
      </c>
      <c r="J73" s="127">
        <v>31.6</v>
      </c>
      <c r="K73" s="127">
        <v>46.3</v>
      </c>
      <c r="L73" s="127">
        <v>19.5</v>
      </c>
    </row>
    <row r="74" spans="2:12">
      <c r="B74" s="166"/>
      <c r="C74" s="8">
        <v>2012</v>
      </c>
      <c r="D74" s="100">
        <v>39.1</v>
      </c>
      <c r="E74" s="127">
        <v>52.6</v>
      </c>
      <c r="F74" s="127">
        <v>26.4</v>
      </c>
      <c r="G74" s="127">
        <v>41.5</v>
      </c>
      <c r="H74" s="127">
        <v>55.4</v>
      </c>
      <c r="I74" s="127">
        <v>28.3</v>
      </c>
      <c r="J74" s="127">
        <v>31.4</v>
      </c>
      <c r="K74" s="127">
        <v>46.4</v>
      </c>
      <c r="L74" s="127">
        <v>19.100000000000001</v>
      </c>
    </row>
    <row r="75" spans="2:12">
      <c r="B75" s="171"/>
      <c r="C75" s="6"/>
      <c r="D75" s="188"/>
      <c r="E75" s="175"/>
      <c r="F75" s="175"/>
      <c r="G75" s="175"/>
      <c r="H75" s="175"/>
      <c r="I75" s="175"/>
      <c r="J75" s="175"/>
      <c r="K75" s="175"/>
      <c r="L75" s="175"/>
    </row>
    <row r="76" spans="2:12" ht="30" customHeight="1">
      <c r="B76" s="347" t="s">
        <v>613</v>
      </c>
      <c r="C76" s="348"/>
      <c r="D76" s="348"/>
      <c r="E76" s="348"/>
      <c r="F76" s="348"/>
      <c r="G76" s="348"/>
      <c r="H76" s="348"/>
      <c r="I76" s="348"/>
      <c r="J76" s="348"/>
      <c r="K76" s="348"/>
      <c r="L76" s="348"/>
    </row>
    <row r="77" spans="2:12" ht="56.25" customHeight="1">
      <c r="B77" s="347" t="s">
        <v>60</v>
      </c>
      <c r="C77" s="348"/>
      <c r="D77" s="348"/>
      <c r="E77" s="348"/>
      <c r="F77" s="348"/>
      <c r="G77" s="348"/>
      <c r="H77" s="348"/>
      <c r="I77" s="348"/>
      <c r="J77" s="348"/>
      <c r="K77" s="348"/>
      <c r="L77" s="348"/>
    </row>
    <row r="78" spans="2:12" ht="81.75" customHeight="1">
      <c r="B78" s="347" t="s">
        <v>101</v>
      </c>
      <c r="C78" s="348"/>
      <c r="D78" s="348"/>
      <c r="E78" s="348"/>
      <c r="F78" s="348"/>
      <c r="G78" s="348"/>
      <c r="H78" s="348"/>
      <c r="I78" s="348"/>
      <c r="J78" s="348"/>
      <c r="K78" s="348"/>
      <c r="L78" s="348"/>
    </row>
    <row r="79" spans="2:12" ht="30"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105</v>
      </c>
      <c r="C2" s="4"/>
      <c r="D2" s="4"/>
      <c r="E2" s="4"/>
      <c r="F2" s="4"/>
      <c r="G2" s="4"/>
      <c r="H2" s="4"/>
      <c r="I2" s="4"/>
      <c r="J2" s="4"/>
      <c r="K2" s="4"/>
      <c r="L2" s="4"/>
    </row>
    <row r="3" spans="1:12" ht="15.75">
      <c r="B3" s="5" t="s">
        <v>106</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28.2</v>
      </c>
      <c r="E7" s="174">
        <v>38.299999999999997</v>
      </c>
      <c r="F7" s="174">
        <v>21.9</v>
      </c>
      <c r="G7" s="174">
        <v>27.1</v>
      </c>
      <c r="H7" s="174">
        <v>36.4</v>
      </c>
      <c r="I7" s="174">
        <v>21.6</v>
      </c>
      <c r="J7" s="174">
        <v>36.5</v>
      </c>
      <c r="K7" s="174">
        <v>55.1</v>
      </c>
      <c r="L7" s="174">
        <v>23.5</v>
      </c>
    </row>
    <row r="8" spans="1:12">
      <c r="B8" s="11"/>
      <c r="C8" s="157" t="s">
        <v>252</v>
      </c>
      <c r="D8" s="160">
        <v>26.2</v>
      </c>
      <c r="E8" s="160">
        <v>37</v>
      </c>
      <c r="F8" s="160">
        <v>19.899999999999999</v>
      </c>
      <c r="G8" s="160">
        <v>25.2</v>
      </c>
      <c r="H8" s="160">
        <v>35.4</v>
      </c>
      <c r="I8" s="160">
        <v>19.5</v>
      </c>
      <c r="J8" s="160">
        <v>34.1</v>
      </c>
      <c r="K8" s="160">
        <v>49.5</v>
      </c>
      <c r="L8" s="160">
        <v>23.1</v>
      </c>
    </row>
    <row r="9" spans="1:12">
      <c r="B9" s="11"/>
      <c r="C9" s="157" t="s">
        <v>253</v>
      </c>
      <c r="D9" s="160">
        <v>25.4</v>
      </c>
      <c r="E9" s="160">
        <v>36.4</v>
      </c>
      <c r="F9" s="160">
        <v>19.100000000000001</v>
      </c>
      <c r="G9" s="160">
        <v>24.9</v>
      </c>
      <c r="H9" s="160">
        <v>35.700000000000003</v>
      </c>
      <c r="I9" s="160">
        <v>18.7</v>
      </c>
      <c r="J9" s="160">
        <v>28.9</v>
      </c>
      <c r="K9" s="160">
        <v>41.3</v>
      </c>
      <c r="L9" s="160">
        <v>20.3</v>
      </c>
    </row>
    <row r="10" spans="1:12">
      <c r="B10" s="11"/>
      <c r="C10" s="157" t="s">
        <v>254</v>
      </c>
      <c r="D10" s="160">
        <v>30.9</v>
      </c>
      <c r="E10" s="160">
        <v>41.2</v>
      </c>
      <c r="F10" s="160">
        <v>24.4</v>
      </c>
      <c r="G10" s="160">
        <v>30</v>
      </c>
      <c r="H10" s="160">
        <v>39.6</v>
      </c>
      <c r="I10" s="160">
        <v>24.1</v>
      </c>
      <c r="J10" s="160">
        <v>39</v>
      </c>
      <c r="K10" s="160">
        <v>55.4</v>
      </c>
      <c r="L10" s="160">
        <v>27.3</v>
      </c>
    </row>
    <row r="11" spans="1:12">
      <c r="B11" s="11"/>
      <c r="C11" s="157" t="s">
        <v>255</v>
      </c>
      <c r="D11" s="160">
        <v>29</v>
      </c>
      <c r="E11" s="160">
        <v>40.9</v>
      </c>
      <c r="F11" s="160">
        <v>22.1</v>
      </c>
      <c r="G11" s="160">
        <v>28.3</v>
      </c>
      <c r="H11" s="160">
        <v>40.1</v>
      </c>
      <c r="I11" s="160">
        <v>21.6</v>
      </c>
      <c r="J11" s="160">
        <v>35.4</v>
      </c>
      <c r="K11" s="160">
        <v>47.1</v>
      </c>
      <c r="L11" s="160">
        <v>27.2</v>
      </c>
    </row>
    <row r="12" spans="1:12" ht="15.75">
      <c r="B12" s="156"/>
      <c r="C12" s="157" t="s">
        <v>256</v>
      </c>
      <c r="D12" s="160">
        <v>31.9</v>
      </c>
      <c r="E12" s="160">
        <v>43.8</v>
      </c>
      <c r="F12" s="160">
        <v>25.1</v>
      </c>
      <c r="G12" s="160">
        <v>31.6</v>
      </c>
      <c r="H12" s="160">
        <v>43.9</v>
      </c>
      <c r="I12" s="160">
        <v>24.9</v>
      </c>
      <c r="J12" s="160">
        <v>32.299999999999997</v>
      </c>
      <c r="K12" s="160">
        <v>42.4</v>
      </c>
      <c r="L12" s="160">
        <v>25.4</v>
      </c>
    </row>
    <row r="13" spans="1:12">
      <c r="B13" s="11"/>
      <c r="C13" s="157" t="s">
        <v>257</v>
      </c>
      <c r="D13" s="160">
        <v>35.5</v>
      </c>
      <c r="E13" s="160">
        <v>47.5</v>
      </c>
      <c r="F13" s="160">
        <v>28.6</v>
      </c>
      <c r="G13" s="160">
        <v>35.200000000000003</v>
      </c>
      <c r="H13" s="160">
        <v>47.4</v>
      </c>
      <c r="I13" s="160">
        <v>28.4</v>
      </c>
      <c r="J13" s="160">
        <v>36</v>
      </c>
      <c r="K13" s="160">
        <v>46.9</v>
      </c>
      <c r="L13" s="160">
        <v>28.9</v>
      </c>
    </row>
    <row r="14" spans="1:12">
      <c r="B14" s="11"/>
      <c r="C14" s="157" t="s">
        <v>258</v>
      </c>
      <c r="D14" s="160">
        <v>32.6</v>
      </c>
      <c r="E14" s="160">
        <v>43.2</v>
      </c>
      <c r="F14" s="160">
        <v>26.8</v>
      </c>
      <c r="G14" s="160">
        <v>32</v>
      </c>
      <c r="H14" s="160">
        <v>42.3</v>
      </c>
      <c r="I14" s="160">
        <v>26.5</v>
      </c>
      <c r="J14" s="160">
        <v>36.6</v>
      </c>
      <c r="K14" s="160">
        <v>48.8</v>
      </c>
      <c r="L14" s="160">
        <v>28.6</v>
      </c>
    </row>
    <row r="15" spans="1:12" ht="15.75">
      <c r="B15" s="156" t="s">
        <v>52</v>
      </c>
      <c r="C15" s="157" t="s">
        <v>259</v>
      </c>
      <c r="D15" s="160">
        <v>36.4</v>
      </c>
      <c r="E15" s="160">
        <v>50.1</v>
      </c>
      <c r="F15" s="160">
        <v>29</v>
      </c>
      <c r="G15" s="160">
        <v>36.200000000000003</v>
      </c>
      <c r="H15" s="160">
        <v>50</v>
      </c>
      <c r="I15" s="160">
        <v>29</v>
      </c>
      <c r="J15" s="160">
        <v>36</v>
      </c>
      <c r="K15" s="160">
        <v>49.9</v>
      </c>
      <c r="L15" s="160">
        <v>27.2</v>
      </c>
    </row>
    <row r="16" spans="1:12">
      <c r="B16" s="11"/>
      <c r="C16" s="157" t="s">
        <v>260</v>
      </c>
      <c r="D16" s="160">
        <v>35</v>
      </c>
      <c r="E16" s="160">
        <v>46.7</v>
      </c>
      <c r="F16" s="160">
        <v>28.4</v>
      </c>
      <c r="G16" s="160">
        <v>34.4</v>
      </c>
      <c r="H16" s="160">
        <v>45.8</v>
      </c>
      <c r="I16" s="160">
        <v>28.3</v>
      </c>
      <c r="J16" s="160">
        <v>38.299999999999997</v>
      </c>
      <c r="K16" s="160">
        <v>53.2</v>
      </c>
      <c r="L16" s="160">
        <v>27.6</v>
      </c>
    </row>
    <row r="17" spans="2:12">
      <c r="B17" s="11"/>
      <c r="C17" s="157" t="s">
        <v>167</v>
      </c>
      <c r="D17" s="160">
        <v>37.6</v>
      </c>
      <c r="E17" s="160">
        <v>51.4</v>
      </c>
      <c r="F17" s="160">
        <v>30</v>
      </c>
      <c r="G17" s="160">
        <v>37.1</v>
      </c>
      <c r="H17" s="160">
        <v>50.8</v>
      </c>
      <c r="I17" s="160">
        <v>29.7</v>
      </c>
      <c r="J17" s="160">
        <v>37.9</v>
      </c>
      <c r="K17" s="160">
        <v>54.8</v>
      </c>
      <c r="L17" s="160">
        <v>27.4</v>
      </c>
    </row>
    <row r="18" spans="2:12">
      <c r="B18" s="11"/>
      <c r="C18" s="157" t="s">
        <v>168</v>
      </c>
      <c r="D18" s="160">
        <v>35</v>
      </c>
      <c r="E18" s="160">
        <v>47.1</v>
      </c>
      <c r="F18" s="160">
        <v>28</v>
      </c>
      <c r="G18" s="160">
        <v>34.299999999999997</v>
      </c>
      <c r="H18" s="160">
        <v>46.5</v>
      </c>
      <c r="I18" s="160">
        <v>27.5</v>
      </c>
      <c r="J18" s="160">
        <v>38.299999999999997</v>
      </c>
      <c r="K18" s="160">
        <v>48.9</v>
      </c>
      <c r="L18" s="160">
        <v>30.8</v>
      </c>
    </row>
    <row r="19" spans="2:12">
      <c r="B19" s="11"/>
      <c r="C19" s="157" t="s">
        <v>169</v>
      </c>
      <c r="D19" s="160">
        <v>33.200000000000003</v>
      </c>
      <c r="E19" s="160">
        <v>44.9</v>
      </c>
      <c r="F19" s="160">
        <v>26.7</v>
      </c>
      <c r="G19" s="160">
        <v>32.6</v>
      </c>
      <c r="H19" s="160">
        <v>44.1</v>
      </c>
      <c r="I19" s="160">
        <v>26.5</v>
      </c>
      <c r="J19" s="160">
        <v>35.1</v>
      </c>
      <c r="K19" s="160">
        <v>49.9</v>
      </c>
      <c r="L19" s="160">
        <v>25.1</v>
      </c>
    </row>
    <row r="20" spans="2:12">
      <c r="B20" s="11"/>
      <c r="C20" s="157" t="s">
        <v>170</v>
      </c>
      <c r="D20" s="160">
        <v>35.9</v>
      </c>
      <c r="E20" s="160">
        <v>47.8</v>
      </c>
      <c r="F20" s="160">
        <v>29</v>
      </c>
      <c r="G20" s="160">
        <v>34.700000000000003</v>
      </c>
      <c r="H20" s="160">
        <v>46.2</v>
      </c>
      <c r="I20" s="160">
        <v>28.3</v>
      </c>
      <c r="J20" s="160">
        <v>41.7</v>
      </c>
      <c r="K20" s="160">
        <v>58.3</v>
      </c>
      <c r="L20" s="160">
        <v>30.5</v>
      </c>
    </row>
    <row r="21" spans="2:12">
      <c r="B21" s="11"/>
      <c r="C21" s="157">
        <v>1994</v>
      </c>
      <c r="D21" s="160">
        <v>33.9</v>
      </c>
      <c r="E21" s="160">
        <v>45.6</v>
      </c>
      <c r="F21" s="160">
        <v>27.3</v>
      </c>
      <c r="G21" s="160">
        <v>32.6</v>
      </c>
      <c r="H21" s="160">
        <v>43.8</v>
      </c>
      <c r="I21" s="160">
        <v>26.5</v>
      </c>
      <c r="J21" s="160">
        <v>43.2</v>
      </c>
      <c r="K21" s="160">
        <v>61.6</v>
      </c>
      <c r="L21" s="160">
        <v>31.8</v>
      </c>
    </row>
    <row r="22" spans="2:12" s="14" customFormat="1">
      <c r="B22" s="11"/>
      <c r="C22" s="157">
        <v>1995</v>
      </c>
      <c r="D22" s="160">
        <v>34.700000000000003</v>
      </c>
      <c r="E22" s="160">
        <v>44.9</v>
      </c>
      <c r="F22" s="160">
        <v>29</v>
      </c>
      <c r="G22" s="160">
        <v>33.6</v>
      </c>
      <c r="H22" s="160">
        <v>42.8</v>
      </c>
      <c r="I22" s="160">
        <v>28.7</v>
      </c>
      <c r="J22" s="160">
        <v>42.8</v>
      </c>
      <c r="K22" s="160">
        <v>63.5</v>
      </c>
      <c r="L22" s="160">
        <v>29.6</v>
      </c>
    </row>
    <row r="23" spans="2:12">
      <c r="B23" s="11"/>
      <c r="C23" s="157">
        <v>1996</v>
      </c>
      <c r="D23" s="160">
        <v>34</v>
      </c>
      <c r="E23" s="160">
        <v>44.5</v>
      </c>
      <c r="F23" s="160">
        <v>28.1</v>
      </c>
      <c r="G23" s="160">
        <v>32.6</v>
      </c>
      <c r="H23" s="160">
        <v>42</v>
      </c>
      <c r="I23" s="160">
        <v>27.4</v>
      </c>
      <c r="J23" s="160">
        <v>43</v>
      </c>
      <c r="K23" s="160">
        <v>63.6</v>
      </c>
      <c r="L23" s="160">
        <v>31.2</v>
      </c>
    </row>
    <row r="24" spans="2:12">
      <c r="B24" s="11"/>
      <c r="C24" s="157">
        <v>1997</v>
      </c>
      <c r="D24" s="160">
        <v>31.2</v>
      </c>
      <c r="E24" s="160">
        <v>42</v>
      </c>
      <c r="F24" s="160">
        <v>24.9</v>
      </c>
      <c r="G24" s="160">
        <v>30</v>
      </c>
      <c r="H24" s="160">
        <v>40.9</v>
      </c>
      <c r="I24" s="160">
        <v>23.9</v>
      </c>
      <c r="J24" s="160">
        <v>39.200000000000003</v>
      </c>
      <c r="K24" s="160">
        <v>49.9</v>
      </c>
      <c r="L24" s="160">
        <v>32.200000000000003</v>
      </c>
    </row>
    <row r="25" spans="2:12">
      <c r="B25" s="11"/>
      <c r="C25" s="157">
        <v>1998</v>
      </c>
      <c r="D25" s="160">
        <v>33.6</v>
      </c>
      <c r="E25" s="160">
        <v>43.2</v>
      </c>
      <c r="F25" s="160">
        <v>27.9</v>
      </c>
      <c r="G25" s="160">
        <v>32.4</v>
      </c>
      <c r="H25" s="160">
        <v>41.2</v>
      </c>
      <c r="I25" s="160">
        <v>27.4</v>
      </c>
      <c r="J25" s="160">
        <v>43.7</v>
      </c>
      <c r="K25" s="160">
        <v>58.9</v>
      </c>
      <c r="L25" s="160">
        <v>33.1</v>
      </c>
    </row>
    <row r="26" spans="2:12">
      <c r="B26" s="11"/>
      <c r="C26" s="157">
        <v>1999</v>
      </c>
      <c r="D26" s="160">
        <v>24.5</v>
      </c>
      <c r="E26" s="160">
        <v>30.5</v>
      </c>
      <c r="F26" s="160">
        <v>21.1</v>
      </c>
      <c r="G26" s="160">
        <v>23.9</v>
      </c>
      <c r="H26" s="160">
        <v>29.9</v>
      </c>
      <c r="I26" s="160">
        <v>20.6</v>
      </c>
      <c r="J26" s="160">
        <v>28.5</v>
      </c>
      <c r="K26" s="160">
        <v>35.1</v>
      </c>
      <c r="L26" s="160">
        <v>24.3</v>
      </c>
    </row>
    <row r="27" spans="2:12">
      <c r="B27" s="11"/>
      <c r="C27" s="157">
        <v>2000</v>
      </c>
      <c r="D27" s="160">
        <v>19.3</v>
      </c>
      <c r="E27" s="160">
        <v>23.6</v>
      </c>
      <c r="F27" s="160">
        <v>16.8</v>
      </c>
      <c r="G27" s="160">
        <v>18.600000000000001</v>
      </c>
      <c r="H27" s="160">
        <v>22.5</v>
      </c>
      <c r="I27" s="160">
        <v>16.5</v>
      </c>
      <c r="J27" s="160">
        <v>23.6</v>
      </c>
      <c r="K27" s="160">
        <v>30.8</v>
      </c>
      <c r="L27" s="160">
        <v>18.7</v>
      </c>
    </row>
    <row r="28" spans="2:12">
      <c r="B28" s="11"/>
      <c r="C28" s="8">
        <v>2001</v>
      </c>
      <c r="D28" s="160">
        <v>21.3</v>
      </c>
      <c r="E28" s="160">
        <v>26.7</v>
      </c>
      <c r="F28" s="160">
        <v>18.2</v>
      </c>
      <c r="G28" s="160">
        <v>20.5</v>
      </c>
      <c r="H28" s="160">
        <v>25.6</v>
      </c>
      <c r="I28" s="160">
        <v>17.5</v>
      </c>
      <c r="J28" s="160">
        <v>28</v>
      </c>
      <c r="K28" s="160">
        <v>37.1</v>
      </c>
      <c r="L28" s="160">
        <v>22.4</v>
      </c>
    </row>
    <row r="29" spans="2:12">
      <c r="B29" s="11"/>
      <c r="C29" s="157">
        <v>2002</v>
      </c>
      <c r="D29" s="159">
        <v>20.399999999999999</v>
      </c>
      <c r="E29" s="159">
        <v>25.8</v>
      </c>
      <c r="F29" s="159">
        <v>17.3</v>
      </c>
      <c r="G29" s="159">
        <v>19.899999999999999</v>
      </c>
      <c r="H29" s="159">
        <v>24.9</v>
      </c>
      <c r="I29" s="159">
        <v>17</v>
      </c>
      <c r="J29" s="159">
        <v>24.1</v>
      </c>
      <c r="K29" s="159">
        <v>34.200000000000003</v>
      </c>
      <c r="L29" s="159">
        <v>18.600000000000001</v>
      </c>
    </row>
    <row r="30" spans="2:12">
      <c r="B30" s="11"/>
      <c r="C30" s="157">
        <v>2003</v>
      </c>
      <c r="D30" s="159">
        <v>19.3</v>
      </c>
      <c r="E30" s="159">
        <v>22.7</v>
      </c>
      <c r="F30" s="159">
        <v>17.2</v>
      </c>
      <c r="G30" s="159">
        <v>18.8</v>
      </c>
      <c r="H30" s="159">
        <v>22</v>
      </c>
      <c r="I30" s="159">
        <v>16.899999999999999</v>
      </c>
      <c r="J30" s="159">
        <v>22</v>
      </c>
      <c r="K30" s="159">
        <v>28.6</v>
      </c>
      <c r="L30" s="159">
        <v>17.899999999999999</v>
      </c>
    </row>
    <row r="31" spans="2:12">
      <c r="B31" s="11"/>
      <c r="C31" s="157">
        <v>2004</v>
      </c>
      <c r="D31" s="159">
        <v>19.3</v>
      </c>
      <c r="E31" s="159">
        <v>22.9</v>
      </c>
      <c r="F31" s="159">
        <v>17.3</v>
      </c>
      <c r="G31" s="159">
        <v>18.5</v>
      </c>
      <c r="H31" s="159">
        <v>21.6</v>
      </c>
      <c r="I31" s="159">
        <v>16.8</v>
      </c>
      <c r="J31" s="159">
        <v>23.6</v>
      </c>
      <c r="K31" s="159">
        <v>32.1</v>
      </c>
      <c r="L31" s="159">
        <v>18.8</v>
      </c>
    </row>
    <row r="32" spans="2:12">
      <c r="B32" s="11"/>
      <c r="C32" s="157">
        <v>2005</v>
      </c>
      <c r="D32" s="159">
        <v>18.899999999999999</v>
      </c>
      <c r="E32" s="159">
        <v>22.8</v>
      </c>
      <c r="F32" s="159">
        <v>16.600000000000001</v>
      </c>
      <c r="G32" s="159">
        <v>18.600000000000001</v>
      </c>
      <c r="H32" s="159">
        <v>22.3</v>
      </c>
      <c r="I32" s="159">
        <v>16.399999999999999</v>
      </c>
      <c r="J32" s="159">
        <v>19.5</v>
      </c>
      <c r="K32" s="159">
        <v>25</v>
      </c>
      <c r="L32" s="159">
        <v>16.399999999999999</v>
      </c>
    </row>
    <row r="33" spans="2:13">
      <c r="B33" s="11"/>
      <c r="C33" s="157">
        <v>2006</v>
      </c>
      <c r="D33" s="159">
        <v>15.8</v>
      </c>
      <c r="E33" s="159">
        <v>19.5</v>
      </c>
      <c r="F33" s="159">
        <v>13.5</v>
      </c>
      <c r="G33" s="159">
        <v>15.4</v>
      </c>
      <c r="H33" s="159">
        <v>18.7</v>
      </c>
      <c r="I33" s="159">
        <v>13.3</v>
      </c>
      <c r="J33" s="159">
        <v>18.7</v>
      </c>
      <c r="K33" s="159">
        <v>26.2</v>
      </c>
      <c r="L33" s="159">
        <v>14.3</v>
      </c>
    </row>
    <row r="34" spans="2:13">
      <c r="B34" s="11"/>
      <c r="C34" s="157">
        <v>2007</v>
      </c>
      <c r="D34" s="159">
        <v>15.1</v>
      </c>
      <c r="E34" s="159">
        <v>18.600000000000001</v>
      </c>
      <c r="F34" s="159">
        <v>13</v>
      </c>
      <c r="G34" s="159">
        <v>14.3</v>
      </c>
      <c r="H34" s="159">
        <v>17.600000000000001</v>
      </c>
      <c r="I34" s="159">
        <v>12.4</v>
      </c>
      <c r="J34" s="159">
        <v>20.3</v>
      </c>
      <c r="K34" s="159">
        <v>26.9</v>
      </c>
      <c r="L34" s="159">
        <v>16.3</v>
      </c>
    </row>
    <row r="35" spans="2:13">
      <c r="B35" s="11"/>
      <c r="C35" s="157">
        <v>2008</v>
      </c>
      <c r="D35" s="159">
        <v>17.100000000000001</v>
      </c>
      <c r="E35" s="159">
        <v>20.8</v>
      </c>
      <c r="F35" s="159">
        <v>14.7</v>
      </c>
      <c r="G35" s="159">
        <v>16.3</v>
      </c>
      <c r="H35" s="159">
        <v>19.5</v>
      </c>
      <c r="I35" s="159">
        <v>14.3</v>
      </c>
      <c r="J35" s="159">
        <v>22.5</v>
      </c>
      <c r="K35" s="159">
        <v>31</v>
      </c>
      <c r="L35" s="159">
        <v>17.100000000000001</v>
      </c>
    </row>
    <row r="36" spans="2:13">
      <c r="B36" s="11"/>
      <c r="C36" s="157">
        <v>2009</v>
      </c>
      <c r="D36" s="159">
        <v>13.8</v>
      </c>
      <c r="E36" s="159">
        <v>17.100000000000001</v>
      </c>
      <c r="F36" s="159">
        <v>11.8</v>
      </c>
      <c r="G36" s="159">
        <v>13.5</v>
      </c>
      <c r="H36" s="159">
        <v>16.8</v>
      </c>
      <c r="I36" s="159">
        <v>11.5</v>
      </c>
      <c r="J36" s="159">
        <v>15.9</v>
      </c>
      <c r="K36" s="159">
        <v>20.2</v>
      </c>
      <c r="L36" s="159">
        <v>13.5</v>
      </c>
    </row>
    <row r="37" spans="2:13">
      <c r="B37" s="11"/>
      <c r="C37" s="157">
        <v>2010</v>
      </c>
      <c r="D37" s="159">
        <v>13.5</v>
      </c>
      <c r="E37" s="159">
        <v>16.8</v>
      </c>
      <c r="F37" s="159">
        <v>11.4</v>
      </c>
      <c r="G37" s="159">
        <v>12.8</v>
      </c>
      <c r="H37" s="159">
        <v>15.8</v>
      </c>
      <c r="I37" s="159">
        <v>10.9</v>
      </c>
      <c r="J37" s="159">
        <v>19</v>
      </c>
      <c r="K37" s="159">
        <v>25.6</v>
      </c>
      <c r="L37" s="159">
        <v>14.8</v>
      </c>
    </row>
    <row r="38" spans="2:13">
      <c r="B38" s="11"/>
      <c r="C38" s="157">
        <v>2011</v>
      </c>
      <c r="D38" s="159">
        <v>15</v>
      </c>
      <c r="E38" s="159">
        <v>18.3</v>
      </c>
      <c r="F38" s="159">
        <v>12.8</v>
      </c>
      <c r="G38" s="159">
        <v>14.5</v>
      </c>
      <c r="H38" s="159">
        <v>17.600000000000001</v>
      </c>
      <c r="I38" s="159">
        <v>12.7</v>
      </c>
      <c r="J38" s="159">
        <v>17</v>
      </c>
      <c r="K38" s="159">
        <v>21.7</v>
      </c>
      <c r="L38" s="159">
        <v>13.7</v>
      </c>
    </row>
    <row r="39" spans="2:13">
      <c r="B39" s="11"/>
      <c r="C39" s="157">
        <v>2012</v>
      </c>
      <c r="D39" s="159">
        <v>13.3</v>
      </c>
      <c r="E39" s="159">
        <v>16</v>
      </c>
      <c r="F39" s="159">
        <v>11.5</v>
      </c>
      <c r="G39" s="159">
        <v>13.2</v>
      </c>
      <c r="H39" s="159">
        <v>15.8</v>
      </c>
      <c r="I39" s="159">
        <v>11.5</v>
      </c>
      <c r="J39" s="159">
        <v>13.6</v>
      </c>
      <c r="K39" s="159">
        <v>16.600000000000001</v>
      </c>
      <c r="L39" s="159">
        <v>11.5</v>
      </c>
    </row>
    <row r="40" spans="2:13">
      <c r="B40" s="11"/>
      <c r="C40" s="157">
        <v>2013</v>
      </c>
      <c r="D40" s="159">
        <v>15.7</v>
      </c>
      <c r="E40" s="159">
        <v>18.899999999999999</v>
      </c>
      <c r="F40" s="159">
        <v>13.5</v>
      </c>
      <c r="G40" s="159">
        <v>15.3</v>
      </c>
      <c r="H40" s="159">
        <v>18.399999999999999</v>
      </c>
      <c r="I40" s="159">
        <v>13.2</v>
      </c>
      <c r="J40" s="159">
        <v>17.600000000000001</v>
      </c>
      <c r="K40" s="159">
        <v>20.9</v>
      </c>
      <c r="L40" s="159">
        <v>15.5</v>
      </c>
    </row>
    <row r="41" spans="2:13">
      <c r="B41" s="11"/>
      <c r="C41" s="157"/>
      <c r="D41" s="159"/>
      <c r="E41" s="159"/>
      <c r="F41" s="159"/>
      <c r="G41" s="159"/>
      <c r="H41" s="159"/>
      <c r="I41" s="159"/>
      <c r="J41" s="159"/>
      <c r="K41" s="159"/>
      <c r="L41" s="159"/>
    </row>
    <row r="42" spans="2:13">
      <c r="B42" s="64"/>
      <c r="C42" s="163" t="s">
        <v>166</v>
      </c>
      <c r="D42" s="164">
        <v>31.4</v>
      </c>
      <c r="E42" s="164">
        <v>42.1</v>
      </c>
      <c r="F42" s="164">
        <v>25.1</v>
      </c>
      <c r="G42" s="164">
        <v>30.9</v>
      </c>
      <c r="H42" s="164">
        <v>41.1</v>
      </c>
      <c r="I42" s="164">
        <v>25</v>
      </c>
      <c r="J42" s="189">
        <v>34.4</v>
      </c>
      <c r="K42" s="176">
        <v>49.9</v>
      </c>
      <c r="L42" s="189">
        <v>23.9</v>
      </c>
      <c r="M42" s="182"/>
    </row>
    <row r="43" spans="2:13">
      <c r="B43" s="11"/>
      <c r="C43" s="157" t="s">
        <v>252</v>
      </c>
      <c r="D43" s="48">
        <v>30</v>
      </c>
      <c r="E43" s="48">
        <v>40.4</v>
      </c>
      <c r="F43" s="48">
        <v>23.8</v>
      </c>
      <c r="G43" s="48">
        <v>29.7</v>
      </c>
      <c r="H43" s="48">
        <v>39.799999999999997</v>
      </c>
      <c r="I43" s="48">
        <v>23.9</v>
      </c>
      <c r="J43" s="190">
        <v>31.4</v>
      </c>
      <c r="K43" s="178">
        <v>46</v>
      </c>
      <c r="L43" s="190">
        <v>21.3</v>
      </c>
      <c r="M43" s="182"/>
    </row>
    <row r="44" spans="2:13">
      <c r="B44" s="11"/>
      <c r="C44" s="157" t="s">
        <v>253</v>
      </c>
      <c r="D44" s="48">
        <v>26.5</v>
      </c>
      <c r="E44" s="48">
        <v>37.1</v>
      </c>
      <c r="F44" s="48">
        <v>20.399999999999999</v>
      </c>
      <c r="G44" s="48">
        <v>26.2</v>
      </c>
      <c r="H44" s="48">
        <v>36.700000000000003</v>
      </c>
      <c r="I44" s="48">
        <v>20.3</v>
      </c>
      <c r="J44" s="190">
        <v>27.6</v>
      </c>
      <c r="K44" s="178">
        <v>40.4</v>
      </c>
      <c r="L44" s="190">
        <v>18.899999999999999</v>
      </c>
      <c r="M44" s="182"/>
    </row>
    <row r="45" spans="2:13">
      <c r="B45" s="11"/>
      <c r="C45" s="157" t="s">
        <v>254</v>
      </c>
      <c r="D45" s="48">
        <v>29.8</v>
      </c>
      <c r="E45" s="48">
        <v>40.700000000000003</v>
      </c>
      <c r="F45" s="48">
        <v>23.5</v>
      </c>
      <c r="G45" s="48">
        <v>29.6</v>
      </c>
      <c r="H45" s="48">
        <v>40.299999999999997</v>
      </c>
      <c r="I45" s="48">
        <v>23.6</v>
      </c>
      <c r="J45" s="190">
        <v>29.9</v>
      </c>
      <c r="K45" s="178">
        <v>44.9</v>
      </c>
      <c r="L45" s="190">
        <v>20</v>
      </c>
      <c r="M45" s="182"/>
    </row>
    <row r="46" spans="2:13">
      <c r="B46" s="11"/>
      <c r="C46" s="157" t="s">
        <v>255</v>
      </c>
      <c r="D46" s="48">
        <v>30.6</v>
      </c>
      <c r="E46" s="48">
        <v>42</v>
      </c>
      <c r="F46" s="48">
        <v>24.1</v>
      </c>
      <c r="G46" s="48">
        <v>30.3</v>
      </c>
      <c r="H46" s="48">
        <v>41.4</v>
      </c>
      <c r="I46" s="48">
        <v>24.2</v>
      </c>
      <c r="J46" s="190">
        <v>32.200000000000003</v>
      </c>
      <c r="K46" s="178">
        <v>47.1</v>
      </c>
      <c r="L46" s="190">
        <v>22.4</v>
      </c>
      <c r="M46" s="182"/>
    </row>
    <row r="47" spans="2:13" ht="15.75">
      <c r="B47" s="156"/>
      <c r="C47" s="157" t="s">
        <v>256</v>
      </c>
      <c r="D47" s="48">
        <v>34.5</v>
      </c>
      <c r="E47" s="48">
        <v>46.8</v>
      </c>
      <c r="F47" s="48">
        <v>27.6</v>
      </c>
      <c r="G47" s="48">
        <v>34.299999999999997</v>
      </c>
      <c r="H47" s="48">
        <v>46.3</v>
      </c>
      <c r="I47" s="48">
        <v>27.6</v>
      </c>
      <c r="J47" s="190">
        <v>35.799999999999997</v>
      </c>
      <c r="K47" s="178">
        <v>51.6</v>
      </c>
      <c r="L47" s="190">
        <v>25.5</v>
      </c>
      <c r="M47" s="182"/>
    </row>
    <row r="48" spans="2:13" ht="15.75">
      <c r="B48" s="165"/>
      <c r="C48" s="157" t="s">
        <v>257</v>
      </c>
      <c r="D48" s="48">
        <v>34.799999999999997</v>
      </c>
      <c r="E48" s="48">
        <v>47.3</v>
      </c>
      <c r="F48" s="48">
        <v>27.8</v>
      </c>
      <c r="G48" s="48">
        <v>34.5</v>
      </c>
      <c r="H48" s="48">
        <v>46.6</v>
      </c>
      <c r="I48" s="48">
        <v>27.8</v>
      </c>
      <c r="J48" s="190">
        <v>37.200000000000003</v>
      </c>
      <c r="K48" s="178">
        <v>54.2</v>
      </c>
      <c r="L48" s="190">
        <v>26.5</v>
      </c>
      <c r="M48" s="182"/>
    </row>
    <row r="49" spans="2:13" ht="15.75">
      <c r="B49" s="156" t="s">
        <v>54</v>
      </c>
      <c r="C49" s="157" t="s">
        <v>258</v>
      </c>
      <c r="D49" s="48">
        <v>33.799999999999997</v>
      </c>
      <c r="E49" s="48">
        <v>45.4</v>
      </c>
      <c r="F49" s="48">
        <v>27.1</v>
      </c>
      <c r="G49" s="48">
        <v>33.5</v>
      </c>
      <c r="H49" s="48">
        <v>44.8</v>
      </c>
      <c r="I49" s="48">
        <v>27.2</v>
      </c>
      <c r="J49" s="190">
        <v>35.5</v>
      </c>
      <c r="K49" s="178">
        <v>52.2</v>
      </c>
      <c r="L49" s="190">
        <v>25</v>
      </c>
      <c r="M49" s="182"/>
    </row>
    <row r="50" spans="2:13" ht="15.75">
      <c r="B50" s="165" t="s">
        <v>55</v>
      </c>
      <c r="C50" s="157" t="s">
        <v>259</v>
      </c>
      <c r="D50" s="48">
        <v>37.299999999999997</v>
      </c>
      <c r="E50" s="48">
        <v>49.2</v>
      </c>
      <c r="F50" s="48">
        <v>30.4</v>
      </c>
      <c r="G50" s="48">
        <v>37.1</v>
      </c>
      <c r="H50" s="48">
        <v>48.8</v>
      </c>
      <c r="I50" s="48">
        <v>30.6</v>
      </c>
      <c r="J50" s="190">
        <v>38.1</v>
      </c>
      <c r="K50" s="178">
        <v>54.5</v>
      </c>
      <c r="L50" s="190">
        <v>27.7</v>
      </c>
      <c r="M50" s="182"/>
    </row>
    <row r="51" spans="2:13">
      <c r="B51" s="11"/>
      <c r="C51" s="157" t="s">
        <v>260</v>
      </c>
      <c r="D51" s="48">
        <v>35.9</v>
      </c>
      <c r="E51" s="48">
        <v>46.7</v>
      </c>
      <c r="F51" s="48">
        <v>29.7</v>
      </c>
      <c r="G51" s="48">
        <v>35.4</v>
      </c>
      <c r="H51" s="48">
        <v>45.7</v>
      </c>
      <c r="I51" s="48">
        <v>29.6</v>
      </c>
      <c r="J51" s="167">
        <v>39.700000000000003</v>
      </c>
      <c r="K51" s="167">
        <v>55.5</v>
      </c>
      <c r="L51" s="167">
        <v>29.6</v>
      </c>
    </row>
    <row r="52" spans="2:13">
      <c r="B52" s="11"/>
      <c r="C52" s="157" t="s">
        <v>167</v>
      </c>
      <c r="D52" s="48">
        <v>36.799999999999997</v>
      </c>
      <c r="E52" s="48">
        <v>47.8</v>
      </c>
      <c r="F52" s="48">
        <v>30.5</v>
      </c>
      <c r="G52" s="48">
        <v>36.4</v>
      </c>
      <c r="H52" s="48">
        <v>47.1</v>
      </c>
      <c r="I52" s="48">
        <v>30.5</v>
      </c>
      <c r="J52" s="48">
        <v>39.4</v>
      </c>
      <c r="K52" s="48">
        <v>55.9</v>
      </c>
      <c r="L52" s="48">
        <v>29.1</v>
      </c>
    </row>
    <row r="53" spans="2:13">
      <c r="B53" s="11"/>
      <c r="C53" s="157" t="s">
        <v>168</v>
      </c>
      <c r="D53" s="48">
        <v>34.9</v>
      </c>
      <c r="E53" s="48">
        <v>45.6</v>
      </c>
      <c r="F53" s="48">
        <v>28.9</v>
      </c>
      <c r="G53" s="48">
        <v>34.5</v>
      </c>
      <c r="H53" s="48">
        <v>44.9</v>
      </c>
      <c r="I53" s="48">
        <v>28.8</v>
      </c>
      <c r="J53" s="48">
        <v>37.5</v>
      </c>
      <c r="K53" s="48">
        <v>52.5</v>
      </c>
      <c r="L53" s="48">
        <v>28.5</v>
      </c>
    </row>
    <row r="54" spans="2:13">
      <c r="B54" s="11"/>
      <c r="C54" s="157">
        <v>1992</v>
      </c>
      <c r="D54" s="48">
        <v>33.1</v>
      </c>
      <c r="E54" s="48">
        <v>43.5</v>
      </c>
      <c r="F54" s="48">
        <v>27.2</v>
      </c>
      <c r="G54" s="48">
        <v>32.799999999999997</v>
      </c>
      <c r="H54" s="48">
        <v>42.8</v>
      </c>
      <c r="I54" s="48">
        <v>27.2</v>
      </c>
      <c r="J54" s="48">
        <v>35.5</v>
      </c>
      <c r="K54" s="48">
        <v>49.9</v>
      </c>
      <c r="L54" s="48">
        <v>26.7</v>
      </c>
    </row>
    <row r="55" spans="2:13">
      <c r="B55" s="11"/>
      <c r="C55" s="158" t="s">
        <v>170</v>
      </c>
      <c r="D55" s="159">
        <v>35.200000000000003</v>
      </c>
      <c r="E55" s="159">
        <v>45.4</v>
      </c>
      <c r="F55" s="159">
        <v>29.4</v>
      </c>
      <c r="G55" s="159">
        <v>34.9</v>
      </c>
      <c r="H55" s="159">
        <v>44.7</v>
      </c>
      <c r="I55" s="159">
        <v>29.4</v>
      </c>
      <c r="J55" s="159">
        <v>37.799999999999997</v>
      </c>
      <c r="K55" s="159">
        <v>52.1</v>
      </c>
      <c r="L55" s="159">
        <v>29</v>
      </c>
    </row>
    <row r="56" spans="2:13">
      <c r="B56" s="166"/>
      <c r="C56" s="157">
        <v>1994</v>
      </c>
      <c r="D56" s="159">
        <v>33.9</v>
      </c>
      <c r="E56" s="167">
        <v>43.6</v>
      </c>
      <c r="F56" s="167">
        <v>28.4</v>
      </c>
      <c r="G56" s="167">
        <v>33.6</v>
      </c>
      <c r="H56" s="167">
        <v>42.9</v>
      </c>
      <c r="I56" s="167">
        <v>28.4</v>
      </c>
      <c r="J56" s="167">
        <v>35.799999999999997</v>
      </c>
      <c r="K56" s="167">
        <v>49.5</v>
      </c>
      <c r="L56" s="167">
        <v>27.7</v>
      </c>
    </row>
    <row r="57" spans="2:13" s="14" customFormat="1">
      <c r="B57" s="166"/>
      <c r="C57" s="158" t="s">
        <v>56</v>
      </c>
      <c r="D57" s="159">
        <v>33.799999999999997</v>
      </c>
      <c r="E57" s="168">
        <v>42.9</v>
      </c>
      <c r="F57" s="168">
        <v>28.4</v>
      </c>
      <c r="G57" s="168">
        <v>33.299999999999997</v>
      </c>
      <c r="H57" s="168">
        <v>42.1</v>
      </c>
      <c r="I57" s="168">
        <v>28.3</v>
      </c>
      <c r="J57" s="168">
        <v>36.799999999999997</v>
      </c>
      <c r="K57" s="168">
        <v>50</v>
      </c>
      <c r="L57" s="168">
        <v>28.8</v>
      </c>
    </row>
    <row r="58" spans="2:13">
      <c r="B58" s="166"/>
      <c r="C58" s="158" t="s">
        <v>57</v>
      </c>
      <c r="D58" s="159">
        <v>33.200000000000003</v>
      </c>
      <c r="E58" s="168">
        <v>41.7</v>
      </c>
      <c r="F58" s="168">
        <v>28.2</v>
      </c>
      <c r="G58" s="168">
        <v>32.799999999999997</v>
      </c>
      <c r="H58" s="168">
        <v>40.799999999999997</v>
      </c>
      <c r="I58" s="168">
        <v>28.2</v>
      </c>
      <c r="J58" s="168">
        <v>36.700000000000003</v>
      </c>
      <c r="K58" s="168">
        <v>50.5</v>
      </c>
      <c r="L58" s="168">
        <v>28.2</v>
      </c>
    </row>
    <row r="59" spans="2:13">
      <c r="B59" s="166"/>
      <c r="C59" s="158" t="s">
        <v>58</v>
      </c>
      <c r="D59" s="159">
        <v>33.6</v>
      </c>
      <c r="E59" s="168">
        <v>42</v>
      </c>
      <c r="F59" s="168">
        <v>28.6</v>
      </c>
      <c r="G59" s="168">
        <v>33.299999999999997</v>
      </c>
      <c r="H59" s="168">
        <v>41.5</v>
      </c>
      <c r="I59" s="168">
        <v>28.5</v>
      </c>
      <c r="J59" s="168">
        <v>36</v>
      </c>
      <c r="K59" s="168">
        <v>47.7</v>
      </c>
      <c r="L59" s="168">
        <v>28.9</v>
      </c>
    </row>
    <row r="60" spans="2:13">
      <c r="B60" s="166"/>
      <c r="C60" s="158" t="s">
        <v>59</v>
      </c>
      <c r="D60" s="168">
        <v>34.6</v>
      </c>
      <c r="E60" s="168">
        <v>42.3</v>
      </c>
      <c r="F60" s="168">
        <v>29.9</v>
      </c>
      <c r="G60" s="168">
        <v>34.4</v>
      </c>
      <c r="H60" s="168">
        <v>41.7</v>
      </c>
      <c r="I60" s="168">
        <v>30</v>
      </c>
      <c r="J60" s="168">
        <v>37</v>
      </c>
      <c r="K60" s="168">
        <v>48.5</v>
      </c>
      <c r="L60" s="168">
        <v>29.7</v>
      </c>
    </row>
    <row r="61" spans="2:13">
      <c r="B61" s="166"/>
      <c r="C61" s="157">
        <v>1999</v>
      </c>
      <c r="D61" s="127">
        <v>23.6</v>
      </c>
      <c r="E61" s="168">
        <v>28</v>
      </c>
      <c r="F61" s="168">
        <v>20.8</v>
      </c>
      <c r="G61" s="168">
        <v>23.4</v>
      </c>
      <c r="H61" s="168">
        <v>27.7</v>
      </c>
      <c r="I61" s="168">
        <v>20.8</v>
      </c>
      <c r="J61" s="168">
        <v>25.6</v>
      </c>
      <c r="K61" s="168">
        <v>32.4</v>
      </c>
      <c r="L61" s="168">
        <v>21.3</v>
      </c>
    </row>
    <row r="62" spans="2:13">
      <c r="B62" s="166"/>
      <c r="C62" s="8">
        <v>2000</v>
      </c>
      <c r="D62" s="127">
        <v>23.7</v>
      </c>
      <c r="E62" s="127">
        <v>28.1</v>
      </c>
      <c r="F62" s="127">
        <v>20.9</v>
      </c>
      <c r="G62" s="127">
        <v>23.5</v>
      </c>
      <c r="H62" s="127">
        <v>27.7</v>
      </c>
      <c r="I62" s="127">
        <v>20.9</v>
      </c>
      <c r="J62" s="127">
        <v>25.8</v>
      </c>
      <c r="K62" s="127">
        <v>32.700000000000003</v>
      </c>
      <c r="L62" s="127">
        <v>21.4</v>
      </c>
    </row>
    <row r="63" spans="2:13">
      <c r="B63" s="166"/>
      <c r="C63" s="8">
        <v>2001</v>
      </c>
      <c r="D63" s="127">
        <v>22</v>
      </c>
      <c r="E63" s="127">
        <v>26.6</v>
      </c>
      <c r="F63" s="127">
        <v>19.2</v>
      </c>
      <c r="G63" s="127">
        <v>21.7</v>
      </c>
      <c r="H63" s="127">
        <v>26</v>
      </c>
      <c r="I63" s="127">
        <v>19.100000000000001</v>
      </c>
      <c r="J63" s="127">
        <v>24.1</v>
      </c>
      <c r="K63" s="127">
        <v>32.299999999999997</v>
      </c>
      <c r="L63" s="127">
        <v>19.399999999999999</v>
      </c>
    </row>
    <row r="64" spans="2:13">
      <c r="B64" s="166"/>
      <c r="C64" s="8">
        <v>2002</v>
      </c>
      <c r="D64" s="127">
        <v>22.6</v>
      </c>
      <c r="E64" s="127">
        <v>27</v>
      </c>
      <c r="F64" s="127">
        <v>19.899999999999999</v>
      </c>
      <c r="G64" s="127">
        <v>22.6</v>
      </c>
      <c r="H64" s="127">
        <v>26.7</v>
      </c>
      <c r="I64" s="127">
        <v>19.899999999999999</v>
      </c>
      <c r="J64" s="127">
        <v>24</v>
      </c>
      <c r="K64" s="127">
        <v>30.8</v>
      </c>
      <c r="L64" s="127">
        <v>20</v>
      </c>
    </row>
    <row r="65" spans="2:12">
      <c r="B65" s="166"/>
      <c r="C65" s="8">
        <v>2003</v>
      </c>
      <c r="D65" s="127">
        <v>22</v>
      </c>
      <c r="E65" s="127">
        <v>26.1</v>
      </c>
      <c r="F65" s="127">
        <v>19.399999999999999</v>
      </c>
      <c r="G65" s="127">
        <v>21.9</v>
      </c>
      <c r="H65" s="127">
        <v>25.7</v>
      </c>
      <c r="I65" s="127">
        <v>19.5</v>
      </c>
      <c r="J65" s="127">
        <v>23.3</v>
      </c>
      <c r="K65" s="127">
        <v>30.9</v>
      </c>
      <c r="L65" s="127">
        <v>18.7</v>
      </c>
    </row>
    <row r="66" spans="2:12">
      <c r="B66" s="166"/>
      <c r="C66" s="8">
        <v>2004</v>
      </c>
      <c r="D66" s="127">
        <v>19.8</v>
      </c>
      <c r="E66" s="127">
        <v>23.7</v>
      </c>
      <c r="F66" s="127">
        <v>17.3</v>
      </c>
      <c r="G66" s="127">
        <v>19.600000000000001</v>
      </c>
      <c r="H66" s="127">
        <v>23.3</v>
      </c>
      <c r="I66" s="127">
        <v>17.2</v>
      </c>
      <c r="J66" s="127">
        <v>22.3</v>
      </c>
      <c r="K66" s="127">
        <v>29.1</v>
      </c>
      <c r="L66" s="127">
        <v>18.2</v>
      </c>
    </row>
    <row r="67" spans="2:12">
      <c r="B67" s="166"/>
      <c r="C67" s="8">
        <v>2005</v>
      </c>
      <c r="D67" s="127">
        <v>20.3</v>
      </c>
      <c r="E67" s="127">
        <v>23.9</v>
      </c>
      <c r="F67" s="127">
        <v>17.899999999999999</v>
      </c>
      <c r="G67" s="127">
        <v>20.2</v>
      </c>
      <c r="H67" s="127">
        <v>23.6</v>
      </c>
      <c r="I67" s="127">
        <v>18</v>
      </c>
      <c r="J67" s="127">
        <v>21.7</v>
      </c>
      <c r="K67" s="127">
        <v>26.9</v>
      </c>
      <c r="L67" s="127">
        <v>18.399999999999999</v>
      </c>
    </row>
    <row r="68" spans="2:12">
      <c r="B68" s="166"/>
      <c r="C68" s="8">
        <v>2006</v>
      </c>
      <c r="D68" s="127">
        <v>17.8</v>
      </c>
      <c r="E68" s="127">
        <v>21.2</v>
      </c>
      <c r="F68" s="127">
        <v>15.5</v>
      </c>
      <c r="G68" s="127">
        <v>17.7</v>
      </c>
      <c r="H68" s="127">
        <v>20.9</v>
      </c>
      <c r="I68" s="127">
        <v>15.5</v>
      </c>
      <c r="J68" s="127">
        <v>19.600000000000001</v>
      </c>
      <c r="K68" s="127">
        <v>24.4</v>
      </c>
      <c r="L68" s="127">
        <v>16.7</v>
      </c>
    </row>
    <row r="69" spans="2:12">
      <c r="B69" s="166"/>
      <c r="C69" s="8">
        <v>2007</v>
      </c>
      <c r="D69" s="127">
        <v>16.2</v>
      </c>
      <c r="E69" s="127">
        <v>19.3</v>
      </c>
      <c r="F69" s="127">
        <v>14.2</v>
      </c>
      <c r="G69" s="127">
        <v>16</v>
      </c>
      <c r="H69" s="127">
        <v>18.899999999999999</v>
      </c>
      <c r="I69" s="127">
        <v>14.1</v>
      </c>
      <c r="J69" s="127">
        <v>18.399999999999999</v>
      </c>
      <c r="K69" s="127">
        <v>23.6</v>
      </c>
      <c r="L69" s="127">
        <v>15.2</v>
      </c>
    </row>
    <row r="70" spans="2:12">
      <c r="B70" s="166"/>
      <c r="C70" s="8">
        <v>2008</v>
      </c>
      <c r="D70" s="127">
        <v>16.899999999999999</v>
      </c>
      <c r="E70" s="127">
        <v>19.899999999999999</v>
      </c>
      <c r="F70" s="127">
        <v>15</v>
      </c>
      <c r="G70" s="127">
        <v>16.7</v>
      </c>
      <c r="H70" s="127">
        <v>19.5</v>
      </c>
      <c r="I70" s="127">
        <v>14.9</v>
      </c>
      <c r="J70" s="127">
        <v>18.899999999999999</v>
      </c>
      <c r="K70" s="127">
        <v>23.2</v>
      </c>
      <c r="L70" s="127">
        <v>16.100000000000001</v>
      </c>
    </row>
    <row r="71" spans="2:12">
      <c r="B71" s="166"/>
      <c r="C71" s="8">
        <v>2009</v>
      </c>
      <c r="D71" s="127">
        <v>16.2</v>
      </c>
      <c r="E71" s="127">
        <v>19.399999999999999</v>
      </c>
      <c r="F71" s="127">
        <v>14.1</v>
      </c>
      <c r="G71" s="127">
        <v>16</v>
      </c>
      <c r="H71" s="127">
        <v>19.100000000000001</v>
      </c>
      <c r="I71" s="127">
        <v>14</v>
      </c>
      <c r="J71" s="127">
        <v>18.100000000000001</v>
      </c>
      <c r="K71" s="127">
        <v>22.9</v>
      </c>
      <c r="L71" s="127">
        <v>15.5</v>
      </c>
    </row>
    <row r="72" spans="2:12">
      <c r="B72" s="166"/>
      <c r="C72" s="8">
        <v>2010</v>
      </c>
      <c r="D72" s="127">
        <v>15.1</v>
      </c>
      <c r="E72" s="127">
        <v>18.2</v>
      </c>
      <c r="F72" s="127">
        <v>13.1</v>
      </c>
      <c r="G72" s="127">
        <v>14.9</v>
      </c>
      <c r="H72" s="127">
        <v>17.8</v>
      </c>
      <c r="I72" s="127">
        <v>13</v>
      </c>
      <c r="J72" s="127">
        <v>16.8</v>
      </c>
      <c r="K72" s="127">
        <v>21.3</v>
      </c>
      <c r="L72" s="127">
        <v>14.1</v>
      </c>
    </row>
    <row r="73" spans="2:12">
      <c r="B73" s="166"/>
      <c r="C73" s="8">
        <v>2011</v>
      </c>
      <c r="D73" s="127">
        <v>15.7</v>
      </c>
      <c r="E73" s="127">
        <v>18.8</v>
      </c>
      <c r="F73" s="127">
        <v>13.7</v>
      </c>
      <c r="G73" s="127">
        <v>15.6</v>
      </c>
      <c r="H73" s="127">
        <v>18.600000000000001</v>
      </c>
      <c r="I73" s="127">
        <v>13.7</v>
      </c>
      <c r="J73" s="127">
        <v>16.8</v>
      </c>
      <c r="K73" s="127">
        <v>20.6</v>
      </c>
      <c r="L73" s="127">
        <v>14.6</v>
      </c>
    </row>
    <row r="74" spans="2:12">
      <c r="B74" s="166"/>
      <c r="C74" s="8">
        <v>2012</v>
      </c>
      <c r="D74" s="127">
        <v>14.4</v>
      </c>
      <c r="E74" s="127">
        <v>17.3</v>
      </c>
      <c r="F74" s="127">
        <v>12.5</v>
      </c>
      <c r="G74" s="127">
        <v>14.3</v>
      </c>
      <c r="H74" s="127">
        <v>17</v>
      </c>
      <c r="I74" s="127">
        <v>12.5</v>
      </c>
      <c r="J74" s="127">
        <v>15.7</v>
      </c>
      <c r="K74" s="127">
        <v>19.8</v>
      </c>
      <c r="L74" s="127">
        <v>13.3</v>
      </c>
    </row>
    <row r="75" spans="2:12">
      <c r="B75" s="171"/>
      <c r="C75" s="6"/>
      <c r="D75" s="175"/>
      <c r="E75" s="175"/>
      <c r="F75" s="175"/>
      <c r="G75" s="175"/>
      <c r="H75" s="175"/>
      <c r="I75" s="175"/>
      <c r="J75" s="175"/>
      <c r="K75" s="175"/>
      <c r="L75" s="175"/>
    </row>
    <row r="76" spans="2:12" ht="30.75" customHeight="1">
      <c r="B76" s="347" t="s">
        <v>613</v>
      </c>
      <c r="C76" s="348"/>
      <c r="D76" s="348"/>
      <c r="E76" s="348"/>
      <c r="F76" s="348"/>
      <c r="G76" s="348"/>
      <c r="H76" s="348"/>
      <c r="I76" s="348"/>
      <c r="J76" s="348"/>
      <c r="K76" s="348"/>
      <c r="L76" s="348"/>
    </row>
    <row r="77" spans="2:12" ht="54.75" customHeight="1">
      <c r="B77" s="347" t="s">
        <v>60</v>
      </c>
      <c r="C77" s="348"/>
      <c r="D77" s="348"/>
      <c r="E77" s="348"/>
      <c r="F77" s="348"/>
      <c r="G77" s="348"/>
      <c r="H77" s="348"/>
      <c r="I77" s="348"/>
      <c r="J77" s="348"/>
      <c r="K77" s="348"/>
      <c r="L77" s="348"/>
    </row>
    <row r="78" spans="2:12" ht="82.5" customHeight="1">
      <c r="B78" s="347" t="s">
        <v>107</v>
      </c>
      <c r="C78" s="348"/>
      <c r="D78" s="348"/>
      <c r="E78" s="348"/>
      <c r="F78" s="348"/>
      <c r="G78" s="348"/>
      <c r="H78" s="348"/>
      <c r="I78" s="348"/>
      <c r="J78" s="348"/>
      <c r="K78" s="348"/>
      <c r="L78" s="348"/>
    </row>
    <row r="79" spans="2:12" ht="30.7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111</v>
      </c>
      <c r="C2" s="4"/>
      <c r="D2" s="4"/>
      <c r="E2" s="4"/>
      <c r="F2" s="4"/>
      <c r="G2" s="4"/>
      <c r="H2" s="4"/>
      <c r="I2" s="4"/>
      <c r="J2" s="4"/>
      <c r="K2" s="4"/>
      <c r="L2" s="4"/>
    </row>
    <row r="3" spans="1:12" ht="15.75">
      <c r="B3" s="5" t="s">
        <v>112</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20.7</v>
      </c>
      <c r="E7" s="174">
        <v>20.3</v>
      </c>
      <c r="F7" s="174">
        <v>20.9</v>
      </c>
      <c r="G7" s="174">
        <v>19.899999999999999</v>
      </c>
      <c r="H7" s="174">
        <v>20</v>
      </c>
      <c r="I7" s="174">
        <v>19.8</v>
      </c>
      <c r="J7" s="174">
        <v>28.2</v>
      </c>
      <c r="K7" s="174">
        <v>23.7</v>
      </c>
      <c r="L7" s="174">
        <v>31.3</v>
      </c>
    </row>
    <row r="8" spans="1:12">
      <c r="B8" s="11"/>
      <c r="C8" s="157" t="s">
        <v>252</v>
      </c>
      <c r="D8" s="160">
        <v>20.7</v>
      </c>
      <c r="E8" s="160">
        <v>22.5</v>
      </c>
      <c r="F8" s="160">
        <v>19.7</v>
      </c>
      <c r="G8" s="160">
        <v>19.899999999999999</v>
      </c>
      <c r="H8" s="160">
        <v>21.9</v>
      </c>
      <c r="I8" s="160">
        <v>18.600000000000001</v>
      </c>
      <c r="J8" s="160">
        <v>27.1</v>
      </c>
      <c r="K8" s="160">
        <v>26.4</v>
      </c>
      <c r="L8" s="160">
        <v>27.7</v>
      </c>
    </row>
    <row r="9" spans="1:12">
      <c r="B9" s="11"/>
      <c r="C9" s="157" t="s">
        <v>253</v>
      </c>
      <c r="D9" s="160">
        <v>18.600000000000001</v>
      </c>
      <c r="E9" s="160">
        <v>18.8</v>
      </c>
      <c r="F9" s="160">
        <v>18.3</v>
      </c>
      <c r="G9" s="160">
        <v>17.8</v>
      </c>
      <c r="H9" s="160">
        <v>18.3</v>
      </c>
      <c r="I9" s="160">
        <v>17.3</v>
      </c>
      <c r="J9" s="160">
        <v>25</v>
      </c>
      <c r="K9" s="160">
        <v>23.6</v>
      </c>
      <c r="L9" s="160">
        <v>26.6</v>
      </c>
    </row>
    <row r="10" spans="1:12">
      <c r="B10" s="11"/>
      <c r="C10" s="157" t="s">
        <v>254</v>
      </c>
      <c r="D10" s="160">
        <v>19.8</v>
      </c>
      <c r="E10" s="160">
        <v>19</v>
      </c>
      <c r="F10" s="160">
        <v>20.2</v>
      </c>
      <c r="G10" s="160">
        <v>18.899999999999999</v>
      </c>
      <c r="H10" s="160">
        <v>18.5</v>
      </c>
      <c r="I10" s="160">
        <v>19.2</v>
      </c>
      <c r="J10" s="160">
        <v>26.4</v>
      </c>
      <c r="K10" s="160">
        <v>22.6</v>
      </c>
      <c r="L10" s="160">
        <v>28.5</v>
      </c>
    </row>
    <row r="11" spans="1:12">
      <c r="B11" s="11"/>
      <c r="C11" s="157" t="s">
        <v>255</v>
      </c>
      <c r="D11" s="160">
        <v>19.5</v>
      </c>
      <c r="E11" s="160">
        <v>19.8</v>
      </c>
      <c r="F11" s="160">
        <v>19</v>
      </c>
      <c r="G11" s="160">
        <v>18.3</v>
      </c>
      <c r="H11" s="160">
        <v>19.5</v>
      </c>
      <c r="I11" s="160">
        <v>17.399999999999999</v>
      </c>
      <c r="J11" s="160">
        <v>29.7</v>
      </c>
      <c r="K11" s="160">
        <v>23</v>
      </c>
      <c r="L11" s="160">
        <v>33.9</v>
      </c>
    </row>
    <row r="12" spans="1:12" ht="15.75">
      <c r="B12" s="156"/>
      <c r="C12" s="157" t="s">
        <v>256</v>
      </c>
      <c r="D12" s="160">
        <v>17.899999999999999</v>
      </c>
      <c r="E12" s="160">
        <v>19</v>
      </c>
      <c r="F12" s="160">
        <v>17.2</v>
      </c>
      <c r="G12" s="160">
        <v>16.899999999999999</v>
      </c>
      <c r="H12" s="160">
        <v>18.3</v>
      </c>
      <c r="I12" s="160">
        <v>15.9</v>
      </c>
      <c r="J12" s="160">
        <v>26.7</v>
      </c>
      <c r="K12" s="160">
        <v>25.5</v>
      </c>
      <c r="L12" s="160">
        <v>27.5</v>
      </c>
    </row>
    <row r="13" spans="1:12">
      <c r="B13" s="11"/>
      <c r="C13" s="157" t="s">
        <v>257</v>
      </c>
      <c r="D13" s="160">
        <v>19.100000000000001</v>
      </c>
      <c r="E13" s="160">
        <v>19.7</v>
      </c>
      <c r="F13" s="160">
        <v>18.600000000000001</v>
      </c>
      <c r="G13" s="160">
        <v>18.100000000000001</v>
      </c>
      <c r="H13" s="160">
        <v>18.600000000000001</v>
      </c>
      <c r="I13" s="160">
        <v>17.600000000000001</v>
      </c>
      <c r="J13" s="160">
        <v>27.9</v>
      </c>
      <c r="K13" s="160">
        <v>28.6</v>
      </c>
      <c r="L13" s="160">
        <v>27.8</v>
      </c>
    </row>
    <row r="14" spans="1:12">
      <c r="B14" s="11"/>
      <c r="C14" s="157" t="s">
        <v>258</v>
      </c>
      <c r="D14" s="160">
        <v>18.600000000000001</v>
      </c>
      <c r="E14" s="160">
        <v>18.899999999999999</v>
      </c>
      <c r="F14" s="160">
        <v>18.100000000000001</v>
      </c>
      <c r="G14" s="160">
        <v>17.5</v>
      </c>
      <c r="H14" s="160">
        <v>18</v>
      </c>
      <c r="I14" s="160">
        <v>16.899999999999999</v>
      </c>
      <c r="J14" s="160">
        <v>28</v>
      </c>
      <c r="K14" s="160">
        <v>27.3</v>
      </c>
      <c r="L14" s="160">
        <v>27.9</v>
      </c>
    </row>
    <row r="15" spans="1:12" ht="15.75">
      <c r="B15" s="156" t="s">
        <v>52</v>
      </c>
      <c r="C15" s="157" t="s">
        <v>259</v>
      </c>
      <c r="D15" s="160">
        <v>19.100000000000001</v>
      </c>
      <c r="E15" s="160">
        <v>20.2</v>
      </c>
      <c r="F15" s="160">
        <v>18.2</v>
      </c>
      <c r="G15" s="160">
        <v>17.7</v>
      </c>
      <c r="H15" s="160">
        <v>19.2</v>
      </c>
      <c r="I15" s="160">
        <v>16.600000000000001</v>
      </c>
      <c r="J15" s="160">
        <v>30.9</v>
      </c>
      <c r="K15" s="160">
        <v>29.3</v>
      </c>
      <c r="L15" s="160">
        <v>31.8</v>
      </c>
    </row>
    <row r="16" spans="1:12">
      <c r="B16" s="11"/>
      <c r="C16" s="157" t="s">
        <v>260</v>
      </c>
      <c r="D16" s="160">
        <v>24.9</v>
      </c>
      <c r="E16" s="160">
        <v>26</v>
      </c>
      <c r="F16" s="160">
        <v>24.1</v>
      </c>
      <c r="G16" s="160">
        <v>22.8</v>
      </c>
      <c r="H16" s="160">
        <v>23.9</v>
      </c>
      <c r="I16" s="160">
        <v>21.9</v>
      </c>
      <c r="J16" s="160">
        <v>42.1</v>
      </c>
      <c r="K16" s="160">
        <v>43.5</v>
      </c>
      <c r="L16" s="160">
        <v>40.6</v>
      </c>
    </row>
    <row r="17" spans="2:12">
      <c r="B17" s="11"/>
      <c r="C17" s="157" t="s">
        <v>167</v>
      </c>
      <c r="D17" s="160">
        <v>24.3</v>
      </c>
      <c r="E17" s="160">
        <v>25.8</v>
      </c>
      <c r="F17" s="160">
        <v>23.1</v>
      </c>
      <c r="G17" s="160">
        <v>22.1</v>
      </c>
      <c r="H17" s="160">
        <v>23.6</v>
      </c>
      <c r="I17" s="160">
        <v>21</v>
      </c>
      <c r="J17" s="160">
        <v>41.4</v>
      </c>
      <c r="K17" s="160">
        <v>43.6</v>
      </c>
      <c r="L17" s="160">
        <v>39.700000000000003</v>
      </c>
    </row>
    <row r="18" spans="2:12">
      <c r="B18" s="11"/>
      <c r="C18" s="157" t="s">
        <v>168</v>
      </c>
      <c r="D18" s="160">
        <v>24.8</v>
      </c>
      <c r="E18" s="160">
        <v>27.6</v>
      </c>
      <c r="F18" s="160">
        <v>22.8</v>
      </c>
      <c r="G18" s="160">
        <v>22.5</v>
      </c>
      <c r="H18" s="160">
        <v>25.7</v>
      </c>
      <c r="I18" s="160">
        <v>20.3</v>
      </c>
      <c r="J18" s="160">
        <v>43.9</v>
      </c>
      <c r="K18" s="160">
        <v>44.3</v>
      </c>
      <c r="L18" s="160">
        <v>42.8</v>
      </c>
    </row>
    <row r="19" spans="2:12">
      <c r="B19" s="11"/>
      <c r="C19" s="157" t="s">
        <v>169</v>
      </c>
      <c r="D19" s="160">
        <v>24.4</v>
      </c>
      <c r="E19" s="160">
        <v>24.9</v>
      </c>
      <c r="F19" s="160">
        <v>23.7</v>
      </c>
      <c r="G19" s="160">
        <v>22.1</v>
      </c>
      <c r="H19" s="160">
        <v>23.1</v>
      </c>
      <c r="I19" s="160">
        <v>21.2</v>
      </c>
      <c r="J19" s="160">
        <v>42</v>
      </c>
      <c r="K19" s="160">
        <v>39.700000000000003</v>
      </c>
      <c r="L19" s="160">
        <v>42.8</v>
      </c>
    </row>
    <row r="20" spans="2:12">
      <c r="B20" s="11"/>
      <c r="C20" s="157" t="s">
        <v>170</v>
      </c>
      <c r="D20" s="160">
        <v>24</v>
      </c>
      <c r="E20" s="160">
        <v>26.2</v>
      </c>
      <c r="F20" s="160">
        <v>22.5</v>
      </c>
      <c r="G20" s="160">
        <v>22.3</v>
      </c>
      <c r="H20" s="160">
        <v>24.8</v>
      </c>
      <c r="I20" s="160">
        <v>20.7</v>
      </c>
      <c r="J20" s="160">
        <v>36.700000000000003</v>
      </c>
      <c r="K20" s="160">
        <v>37.4</v>
      </c>
      <c r="L20" s="160">
        <v>36.299999999999997</v>
      </c>
    </row>
    <row r="21" spans="2:12">
      <c r="B21" s="11"/>
      <c r="C21" s="157">
        <v>1994</v>
      </c>
      <c r="D21" s="160">
        <v>25</v>
      </c>
      <c r="E21" s="160">
        <v>26.7</v>
      </c>
      <c r="F21" s="160">
        <v>23.7</v>
      </c>
      <c r="G21" s="160">
        <v>23.1</v>
      </c>
      <c r="H21" s="160">
        <v>25</v>
      </c>
      <c r="I21" s="160">
        <v>21.7</v>
      </c>
      <c r="J21" s="160">
        <v>40</v>
      </c>
      <c r="K21" s="160">
        <v>40.4</v>
      </c>
      <c r="L21" s="160">
        <v>38.799999999999997</v>
      </c>
    </row>
    <row r="22" spans="2:12" s="14" customFormat="1">
      <c r="B22" s="11"/>
      <c r="C22" s="157">
        <v>1995</v>
      </c>
      <c r="D22" s="160">
        <v>24.8</v>
      </c>
      <c r="E22" s="160">
        <v>27.7</v>
      </c>
      <c r="F22" s="160">
        <v>22.6</v>
      </c>
      <c r="G22" s="160">
        <v>22.6</v>
      </c>
      <c r="H22" s="160">
        <v>25.8</v>
      </c>
      <c r="I22" s="160">
        <v>20.2</v>
      </c>
      <c r="J22" s="160">
        <v>41.8</v>
      </c>
      <c r="K22" s="160">
        <v>42.6</v>
      </c>
      <c r="L22" s="160">
        <v>40.5</v>
      </c>
    </row>
    <row r="23" spans="2:12">
      <c r="B23" s="11"/>
      <c r="C23" s="157">
        <v>1996</v>
      </c>
      <c r="D23" s="160">
        <v>25.5</v>
      </c>
      <c r="E23" s="160">
        <v>27</v>
      </c>
      <c r="F23" s="160">
        <v>24.5</v>
      </c>
      <c r="G23" s="160">
        <v>23.8</v>
      </c>
      <c r="H23" s="160">
        <v>26.1</v>
      </c>
      <c r="I23" s="160">
        <v>22.3</v>
      </c>
      <c r="J23" s="160">
        <v>38.5</v>
      </c>
      <c r="K23" s="160">
        <v>34.700000000000003</v>
      </c>
      <c r="L23" s="160">
        <v>41.3</v>
      </c>
    </row>
    <row r="24" spans="2:12">
      <c r="B24" s="11"/>
      <c r="C24" s="157">
        <v>1997</v>
      </c>
      <c r="D24" s="160">
        <v>26.2</v>
      </c>
      <c r="E24" s="160">
        <v>29.9</v>
      </c>
      <c r="F24" s="160">
        <v>23.9</v>
      </c>
      <c r="G24" s="160">
        <v>24</v>
      </c>
      <c r="H24" s="160">
        <v>27.9</v>
      </c>
      <c r="I24" s="160">
        <v>21.7</v>
      </c>
      <c r="J24" s="160">
        <v>42.7</v>
      </c>
      <c r="K24" s="160">
        <v>45.4</v>
      </c>
      <c r="L24" s="160">
        <v>40.6</v>
      </c>
    </row>
    <row r="25" spans="2:12">
      <c r="B25" s="11"/>
      <c r="C25" s="157">
        <v>1998</v>
      </c>
      <c r="D25" s="160">
        <v>25.9</v>
      </c>
      <c r="E25" s="160">
        <v>28.5</v>
      </c>
      <c r="F25" s="160">
        <v>24.2</v>
      </c>
      <c r="G25" s="160">
        <v>24.1</v>
      </c>
      <c r="H25" s="160">
        <v>26.6</v>
      </c>
      <c r="I25" s="160">
        <v>22.4</v>
      </c>
      <c r="J25" s="160">
        <v>40</v>
      </c>
      <c r="K25" s="160">
        <v>44.4</v>
      </c>
      <c r="L25" s="160">
        <v>37.799999999999997</v>
      </c>
    </row>
    <row r="26" spans="2:12">
      <c r="B26" s="11"/>
      <c r="C26" s="157">
        <v>1999</v>
      </c>
      <c r="D26" s="160">
        <v>26.9</v>
      </c>
      <c r="E26" s="160">
        <v>29</v>
      </c>
      <c r="F26" s="160">
        <v>25.4</v>
      </c>
      <c r="G26" s="160">
        <v>24.6</v>
      </c>
      <c r="H26" s="160">
        <v>27</v>
      </c>
      <c r="I26" s="160">
        <v>23</v>
      </c>
      <c r="J26" s="160">
        <v>45</v>
      </c>
      <c r="K26" s="160">
        <v>46.6</v>
      </c>
      <c r="L26" s="160">
        <v>43.7</v>
      </c>
    </row>
    <row r="27" spans="2:12">
      <c r="B27" s="11"/>
      <c r="C27" s="157">
        <v>2000</v>
      </c>
      <c r="D27" s="160">
        <v>27</v>
      </c>
      <c r="E27" s="160">
        <v>29.7</v>
      </c>
      <c r="F27" s="160">
        <v>24.9</v>
      </c>
      <c r="G27" s="160">
        <v>25.3</v>
      </c>
      <c r="H27" s="160">
        <v>28.6</v>
      </c>
      <c r="I27" s="160">
        <v>22.9</v>
      </c>
      <c r="J27" s="160">
        <v>39.799999999999997</v>
      </c>
      <c r="K27" s="160">
        <v>39.200000000000003</v>
      </c>
      <c r="L27" s="160">
        <v>39.700000000000003</v>
      </c>
    </row>
    <row r="28" spans="2:12">
      <c r="B28" s="11"/>
      <c r="C28" s="8">
        <v>2001</v>
      </c>
      <c r="D28" s="160">
        <v>26.9</v>
      </c>
      <c r="E28" s="160">
        <v>28.8</v>
      </c>
      <c r="F28" s="160">
        <v>25.4</v>
      </c>
      <c r="G28" s="160">
        <v>25.2</v>
      </c>
      <c r="H28" s="160">
        <v>27.7</v>
      </c>
      <c r="I28" s="160">
        <v>23.2</v>
      </c>
      <c r="J28" s="160">
        <v>40.799999999999997</v>
      </c>
      <c r="K28" s="160">
        <v>38.700000000000003</v>
      </c>
      <c r="L28" s="160">
        <v>41.6</v>
      </c>
    </row>
    <row r="29" spans="2:12">
      <c r="B29" s="11"/>
      <c r="C29" s="157">
        <v>2002</v>
      </c>
      <c r="D29" s="159">
        <v>27.7</v>
      </c>
      <c r="E29" s="159">
        <v>31.5</v>
      </c>
      <c r="F29" s="159">
        <v>24.9</v>
      </c>
      <c r="G29" s="159">
        <v>25.8</v>
      </c>
      <c r="H29" s="159">
        <v>30</v>
      </c>
      <c r="I29" s="159">
        <v>22.8</v>
      </c>
      <c r="J29" s="159">
        <v>42.8</v>
      </c>
      <c r="K29" s="159">
        <v>44.3</v>
      </c>
      <c r="L29" s="159">
        <v>41.2</v>
      </c>
    </row>
    <row r="30" spans="2:12">
      <c r="B30" s="11"/>
      <c r="C30" s="157">
        <v>2003</v>
      </c>
      <c r="D30" s="159">
        <v>26</v>
      </c>
      <c r="E30" s="159">
        <v>30</v>
      </c>
      <c r="F30" s="159">
        <v>22.9</v>
      </c>
      <c r="G30" s="159">
        <v>24.3</v>
      </c>
      <c r="H30" s="159">
        <v>28.9</v>
      </c>
      <c r="I30" s="159">
        <v>20.9</v>
      </c>
      <c r="J30" s="159">
        <v>39.200000000000003</v>
      </c>
      <c r="K30" s="159">
        <v>39</v>
      </c>
      <c r="L30" s="159">
        <v>38.1</v>
      </c>
    </row>
    <row r="31" spans="2:12">
      <c r="B31" s="11"/>
      <c r="C31" s="157">
        <v>2004</v>
      </c>
      <c r="D31" s="159">
        <v>28.9</v>
      </c>
      <c r="E31" s="159">
        <v>33.4</v>
      </c>
      <c r="F31" s="159">
        <v>25.5</v>
      </c>
      <c r="G31" s="159">
        <v>26.7</v>
      </c>
      <c r="H31" s="159">
        <v>31.4</v>
      </c>
      <c r="I31" s="159">
        <v>23.2</v>
      </c>
      <c r="J31" s="159">
        <v>43.1</v>
      </c>
      <c r="K31" s="159">
        <v>47.6</v>
      </c>
      <c r="L31" s="159">
        <v>39.9</v>
      </c>
    </row>
    <row r="32" spans="2:12">
      <c r="B32" s="11"/>
      <c r="C32" s="157">
        <v>2005</v>
      </c>
      <c r="D32" s="159">
        <v>27.3</v>
      </c>
      <c r="E32" s="159">
        <v>29.7</v>
      </c>
      <c r="F32" s="159">
        <v>25.6</v>
      </c>
      <c r="G32" s="159">
        <v>25.3</v>
      </c>
      <c r="H32" s="159">
        <v>27.6</v>
      </c>
      <c r="I32" s="159">
        <v>23.6</v>
      </c>
      <c r="J32" s="159">
        <v>40.6</v>
      </c>
      <c r="K32" s="159">
        <v>45.8</v>
      </c>
      <c r="L32" s="159">
        <v>37.299999999999997</v>
      </c>
    </row>
    <row r="33" spans="2:12">
      <c r="B33" s="11"/>
      <c r="C33" s="157">
        <v>2006</v>
      </c>
      <c r="D33" s="159">
        <v>26.7</v>
      </c>
      <c r="E33" s="159">
        <v>31.2</v>
      </c>
      <c r="F33" s="159">
        <v>23.3</v>
      </c>
      <c r="G33" s="159">
        <v>24.6</v>
      </c>
      <c r="H33" s="159">
        <v>28.9</v>
      </c>
      <c r="I33" s="159">
        <v>21.3</v>
      </c>
      <c r="J33" s="159">
        <v>40.4</v>
      </c>
      <c r="K33" s="159">
        <v>47.7</v>
      </c>
      <c r="L33" s="159">
        <v>36.200000000000003</v>
      </c>
    </row>
    <row r="34" spans="2:12">
      <c r="B34" s="11"/>
      <c r="C34" s="157">
        <v>2007</v>
      </c>
      <c r="D34" s="159">
        <v>26.2</v>
      </c>
      <c r="E34" s="159">
        <v>30.3</v>
      </c>
      <c r="F34" s="159">
        <v>23.2</v>
      </c>
      <c r="G34" s="159">
        <v>24.4</v>
      </c>
      <c r="H34" s="159">
        <v>29</v>
      </c>
      <c r="I34" s="159">
        <v>20.9</v>
      </c>
      <c r="J34" s="159">
        <v>38.1</v>
      </c>
      <c r="K34" s="159">
        <v>39.5</v>
      </c>
      <c r="L34" s="159">
        <v>36.9</v>
      </c>
    </row>
    <row r="35" spans="2:12">
      <c r="B35" s="11"/>
      <c r="C35" s="157">
        <v>2008</v>
      </c>
      <c r="D35" s="159">
        <v>25.2</v>
      </c>
      <c r="E35" s="159">
        <v>29.1</v>
      </c>
      <c r="F35" s="159">
        <v>22.1</v>
      </c>
      <c r="G35" s="159">
        <v>23.2</v>
      </c>
      <c r="H35" s="159">
        <v>27.1</v>
      </c>
      <c r="I35" s="159">
        <v>20.2</v>
      </c>
      <c r="J35" s="159">
        <v>39.700000000000003</v>
      </c>
      <c r="K35" s="159">
        <v>44.7</v>
      </c>
      <c r="L35" s="159">
        <v>35.5</v>
      </c>
    </row>
    <row r="36" spans="2:12">
      <c r="B36" s="11"/>
      <c r="C36" s="157">
        <v>2009</v>
      </c>
      <c r="D36" s="159">
        <v>24.2</v>
      </c>
      <c r="E36" s="159">
        <v>28.5</v>
      </c>
      <c r="F36" s="159">
        <v>21</v>
      </c>
      <c r="G36" s="159">
        <v>22.2</v>
      </c>
      <c r="H36" s="159">
        <v>26.2</v>
      </c>
      <c r="I36" s="159">
        <v>19.2</v>
      </c>
      <c r="J36" s="159">
        <v>37.5</v>
      </c>
      <c r="K36" s="159">
        <v>43.5</v>
      </c>
      <c r="L36" s="159">
        <v>32.799999999999997</v>
      </c>
    </row>
    <row r="37" spans="2:12">
      <c r="B37" s="11"/>
      <c r="C37" s="157">
        <v>2010</v>
      </c>
      <c r="D37" s="159">
        <v>23.9</v>
      </c>
      <c r="E37" s="159">
        <v>27.1</v>
      </c>
      <c r="F37" s="159">
        <v>21.5</v>
      </c>
      <c r="G37" s="159">
        <v>22.2</v>
      </c>
      <c r="H37" s="159">
        <v>25.6</v>
      </c>
      <c r="I37" s="159">
        <v>19.7</v>
      </c>
      <c r="J37" s="159">
        <v>36</v>
      </c>
      <c r="K37" s="159">
        <v>38.4</v>
      </c>
      <c r="L37" s="159">
        <v>34.299999999999997</v>
      </c>
    </row>
    <row r="38" spans="2:12">
      <c r="B38" s="11"/>
      <c r="C38" s="157">
        <v>2011</v>
      </c>
      <c r="D38" s="159">
        <v>24.2</v>
      </c>
      <c r="E38" s="159">
        <v>28</v>
      </c>
      <c r="F38" s="159">
        <v>21.1</v>
      </c>
      <c r="G38" s="159">
        <v>22.4</v>
      </c>
      <c r="H38" s="159">
        <v>26.1</v>
      </c>
      <c r="I38" s="159">
        <v>19.399999999999999</v>
      </c>
      <c r="J38" s="159">
        <v>35.6</v>
      </c>
      <c r="K38" s="159">
        <v>39.9</v>
      </c>
      <c r="L38" s="159">
        <v>32.299999999999997</v>
      </c>
    </row>
    <row r="39" spans="2:12">
      <c r="B39" s="11"/>
      <c r="C39" s="157">
        <v>2012</v>
      </c>
      <c r="D39" s="159">
        <v>23</v>
      </c>
      <c r="E39" s="159">
        <v>27.6</v>
      </c>
      <c r="F39" s="159">
        <v>19.600000000000001</v>
      </c>
      <c r="G39" s="159">
        <v>21.5</v>
      </c>
      <c r="H39" s="159">
        <v>26.3</v>
      </c>
      <c r="I39" s="159">
        <v>18</v>
      </c>
      <c r="J39" s="159">
        <v>33.9</v>
      </c>
      <c r="K39" s="159">
        <v>36.200000000000003</v>
      </c>
      <c r="L39" s="159">
        <v>32</v>
      </c>
    </row>
    <row r="40" spans="2:12">
      <c r="B40" s="11"/>
      <c r="C40" s="157">
        <v>2013</v>
      </c>
      <c r="D40" s="159">
        <v>23.7</v>
      </c>
      <c r="E40" s="159">
        <v>28.5</v>
      </c>
      <c r="F40" s="159">
        <v>19.899999999999999</v>
      </c>
      <c r="G40" s="159">
        <v>21.6</v>
      </c>
      <c r="H40" s="159">
        <v>26.6</v>
      </c>
      <c r="I40" s="159">
        <v>17.7</v>
      </c>
      <c r="J40" s="159">
        <v>38.700000000000003</v>
      </c>
      <c r="K40" s="159">
        <v>42.5</v>
      </c>
      <c r="L40" s="159">
        <v>35.4</v>
      </c>
    </row>
    <row r="41" spans="2:12">
      <c r="B41" s="11"/>
      <c r="C41" s="157"/>
      <c r="D41" s="159"/>
      <c r="E41" s="159"/>
      <c r="F41" s="159"/>
      <c r="G41" s="159"/>
      <c r="H41" s="159"/>
      <c r="I41" s="159"/>
      <c r="J41" s="159"/>
      <c r="K41" s="159"/>
      <c r="L41" s="159"/>
    </row>
    <row r="42" spans="2:12">
      <c r="B42" s="64"/>
      <c r="C42" s="163" t="s">
        <v>166</v>
      </c>
      <c r="D42" s="164">
        <v>18.100000000000001</v>
      </c>
      <c r="E42" s="164">
        <v>18.100000000000001</v>
      </c>
      <c r="F42" s="164">
        <v>18</v>
      </c>
      <c r="G42" s="164">
        <v>16.7</v>
      </c>
      <c r="H42" s="164">
        <v>17.2</v>
      </c>
      <c r="I42" s="164">
        <v>16.2</v>
      </c>
      <c r="J42" s="164">
        <v>32.700000000000003</v>
      </c>
      <c r="K42" s="164">
        <v>28.1</v>
      </c>
      <c r="L42" s="164">
        <v>35.799999999999997</v>
      </c>
    </row>
    <row r="43" spans="2:12">
      <c r="B43" s="11"/>
      <c r="C43" s="157" t="s">
        <v>252</v>
      </c>
      <c r="D43" s="48">
        <v>17.600000000000001</v>
      </c>
      <c r="E43" s="48">
        <v>17.600000000000001</v>
      </c>
      <c r="F43" s="48">
        <v>17.399999999999999</v>
      </c>
      <c r="G43" s="48">
        <v>16.3</v>
      </c>
      <c r="H43" s="48">
        <v>16.8</v>
      </c>
      <c r="I43" s="48">
        <v>15.7</v>
      </c>
      <c r="J43" s="48">
        <v>31.5</v>
      </c>
      <c r="K43" s="48">
        <v>26.3</v>
      </c>
      <c r="L43" s="48">
        <v>34.799999999999997</v>
      </c>
    </row>
    <row r="44" spans="2:12">
      <c r="B44" s="11"/>
      <c r="C44" s="157" t="s">
        <v>253</v>
      </c>
      <c r="D44" s="48">
        <v>17.2</v>
      </c>
      <c r="E44" s="48">
        <v>17.2</v>
      </c>
      <c r="F44" s="48">
        <v>17</v>
      </c>
      <c r="G44" s="48">
        <v>16</v>
      </c>
      <c r="H44" s="48">
        <v>16.399999999999999</v>
      </c>
      <c r="I44" s="48">
        <v>15.5</v>
      </c>
      <c r="J44" s="48">
        <v>29.5</v>
      </c>
      <c r="K44" s="48">
        <v>25.4</v>
      </c>
      <c r="L44" s="48">
        <v>32.200000000000003</v>
      </c>
    </row>
    <row r="45" spans="2:12">
      <c r="B45" s="11"/>
      <c r="C45" s="157" t="s">
        <v>254</v>
      </c>
      <c r="D45" s="48">
        <v>17.600000000000001</v>
      </c>
      <c r="E45" s="48">
        <v>17.5</v>
      </c>
      <c r="F45" s="48">
        <v>17.600000000000001</v>
      </c>
      <c r="G45" s="48">
        <v>16.3</v>
      </c>
      <c r="H45" s="48">
        <v>16.600000000000001</v>
      </c>
      <c r="I45" s="48">
        <v>15.9</v>
      </c>
      <c r="J45" s="48">
        <v>32</v>
      </c>
      <c r="K45" s="48">
        <v>27.8</v>
      </c>
      <c r="L45" s="48">
        <v>34.700000000000003</v>
      </c>
    </row>
    <row r="46" spans="2:12">
      <c r="B46" s="11"/>
      <c r="C46" s="157" t="s">
        <v>255</v>
      </c>
      <c r="D46" s="48">
        <v>17.2</v>
      </c>
      <c r="E46" s="48">
        <v>17.7</v>
      </c>
      <c r="F46" s="48">
        <v>16.7</v>
      </c>
      <c r="G46" s="48">
        <v>15.8</v>
      </c>
      <c r="H46" s="48">
        <v>16.7</v>
      </c>
      <c r="I46" s="48">
        <v>15.1</v>
      </c>
      <c r="J46" s="48">
        <v>31.6</v>
      </c>
      <c r="K46" s="48">
        <v>28.2</v>
      </c>
      <c r="L46" s="48">
        <v>33.700000000000003</v>
      </c>
    </row>
    <row r="47" spans="2:12" ht="15.75">
      <c r="B47" s="156"/>
      <c r="C47" s="157" t="s">
        <v>256</v>
      </c>
      <c r="D47" s="48">
        <v>17.399999999999999</v>
      </c>
      <c r="E47" s="48">
        <v>17.7</v>
      </c>
      <c r="F47" s="48">
        <v>17</v>
      </c>
      <c r="G47" s="48">
        <v>15.9</v>
      </c>
      <c r="H47" s="48">
        <v>16.600000000000001</v>
      </c>
      <c r="I47" s="48">
        <v>15.3</v>
      </c>
      <c r="J47" s="48">
        <v>33</v>
      </c>
      <c r="K47" s="48">
        <v>29.1</v>
      </c>
      <c r="L47" s="48">
        <v>35.299999999999997</v>
      </c>
    </row>
    <row r="48" spans="2:12" ht="15.75">
      <c r="B48" s="165"/>
      <c r="C48" s="157" t="s">
        <v>257</v>
      </c>
      <c r="D48" s="48">
        <v>17.2</v>
      </c>
      <c r="E48" s="48">
        <v>17.5</v>
      </c>
      <c r="F48" s="48">
        <v>16.8</v>
      </c>
      <c r="G48" s="48">
        <v>15.6</v>
      </c>
      <c r="H48" s="48">
        <v>16.399999999999999</v>
      </c>
      <c r="I48" s="48">
        <v>15</v>
      </c>
      <c r="J48" s="48">
        <v>33.5</v>
      </c>
      <c r="K48" s="48">
        <v>29.4</v>
      </c>
      <c r="L48" s="48">
        <v>35.9</v>
      </c>
    </row>
    <row r="49" spans="2:12" ht="15.75">
      <c r="B49" s="156" t="s">
        <v>54</v>
      </c>
      <c r="C49" s="157" t="s">
        <v>258</v>
      </c>
      <c r="D49" s="48">
        <v>17.399999999999999</v>
      </c>
      <c r="E49" s="48">
        <v>18</v>
      </c>
      <c r="F49" s="48">
        <v>16.899999999999999</v>
      </c>
      <c r="G49" s="48">
        <v>15.9</v>
      </c>
      <c r="H49" s="48">
        <v>17</v>
      </c>
      <c r="I49" s="48">
        <v>15</v>
      </c>
      <c r="J49" s="48">
        <v>33.799999999999997</v>
      </c>
      <c r="K49" s="48">
        <v>29.9</v>
      </c>
      <c r="L49" s="48">
        <v>36</v>
      </c>
    </row>
    <row r="50" spans="2:12" ht="15.75">
      <c r="B50" s="165" t="s">
        <v>55</v>
      </c>
      <c r="C50" s="157" t="s">
        <v>259</v>
      </c>
      <c r="D50" s="48">
        <v>18</v>
      </c>
      <c r="E50" s="48">
        <v>18.7</v>
      </c>
      <c r="F50" s="48">
        <v>17.5</v>
      </c>
      <c r="G50" s="48">
        <v>16.3</v>
      </c>
      <c r="H50" s="48">
        <v>17.5</v>
      </c>
      <c r="I50" s="48">
        <v>15.5</v>
      </c>
      <c r="J50" s="48">
        <v>35.700000000000003</v>
      </c>
      <c r="K50" s="48">
        <v>32.799999999999997</v>
      </c>
      <c r="L50" s="48">
        <v>37.200000000000003</v>
      </c>
    </row>
    <row r="51" spans="2:12">
      <c r="B51" s="11"/>
      <c r="C51" s="157" t="s">
        <v>260</v>
      </c>
      <c r="D51" s="48">
        <v>20.5</v>
      </c>
      <c r="E51" s="48">
        <v>21.3</v>
      </c>
      <c r="F51" s="48">
        <v>19.8</v>
      </c>
      <c r="G51" s="48">
        <v>18.7</v>
      </c>
      <c r="H51" s="48">
        <v>19.8</v>
      </c>
      <c r="I51" s="48">
        <v>17.7</v>
      </c>
      <c r="J51" s="48">
        <v>40.1</v>
      </c>
      <c r="K51" s="48">
        <v>37.4</v>
      </c>
      <c r="L51" s="48">
        <v>41.4</v>
      </c>
    </row>
    <row r="52" spans="2:12">
      <c r="B52" s="11"/>
      <c r="C52" s="157" t="s">
        <v>167</v>
      </c>
      <c r="D52" s="48">
        <v>20.7</v>
      </c>
      <c r="E52" s="48">
        <v>21.7</v>
      </c>
      <c r="F52" s="48">
        <v>19.899999999999999</v>
      </c>
      <c r="G52" s="48">
        <v>18.8</v>
      </c>
      <c r="H52" s="48">
        <v>20.3</v>
      </c>
      <c r="I52" s="48">
        <v>17.600000000000001</v>
      </c>
      <c r="J52" s="48">
        <v>40.5</v>
      </c>
      <c r="K52" s="48">
        <v>37.299999999999997</v>
      </c>
      <c r="L52" s="48">
        <v>42.2</v>
      </c>
    </row>
    <row r="53" spans="2:12">
      <c r="B53" s="11"/>
      <c r="C53" s="157" t="s">
        <v>168</v>
      </c>
      <c r="D53" s="48">
        <v>20.7</v>
      </c>
      <c r="E53" s="48">
        <v>22</v>
      </c>
      <c r="F53" s="48">
        <v>19.8</v>
      </c>
      <c r="G53" s="48">
        <v>18.8</v>
      </c>
      <c r="H53" s="48">
        <v>20.5</v>
      </c>
      <c r="I53" s="48">
        <v>17.5</v>
      </c>
      <c r="J53" s="48">
        <v>41.7</v>
      </c>
      <c r="K53" s="48">
        <v>39.200000000000003</v>
      </c>
      <c r="L53" s="48">
        <v>42.9</v>
      </c>
    </row>
    <row r="54" spans="2:12">
      <c r="B54" s="11"/>
      <c r="C54" s="157">
        <v>1992</v>
      </c>
      <c r="D54" s="48">
        <v>20.8</v>
      </c>
      <c r="E54" s="48">
        <v>22.2</v>
      </c>
      <c r="F54" s="48">
        <v>19.8</v>
      </c>
      <c r="G54" s="48">
        <v>18.8</v>
      </c>
      <c r="H54" s="48">
        <v>20.7</v>
      </c>
      <c r="I54" s="48">
        <v>17.5</v>
      </c>
      <c r="J54" s="48">
        <v>41.6</v>
      </c>
      <c r="K54" s="48">
        <v>38.6</v>
      </c>
      <c r="L54" s="48">
        <v>43.1</v>
      </c>
    </row>
    <row r="55" spans="2:12">
      <c r="B55" s="11"/>
      <c r="C55" s="158" t="s">
        <v>170</v>
      </c>
      <c r="D55" s="159">
        <v>22</v>
      </c>
      <c r="E55" s="159">
        <v>23.5</v>
      </c>
      <c r="F55" s="159">
        <v>20.9</v>
      </c>
      <c r="G55" s="159">
        <v>19.899999999999999</v>
      </c>
      <c r="H55" s="159">
        <v>21.8</v>
      </c>
      <c r="I55" s="159">
        <v>18.399999999999999</v>
      </c>
      <c r="J55" s="159">
        <v>44</v>
      </c>
      <c r="K55" s="159">
        <v>42.1</v>
      </c>
      <c r="L55" s="159">
        <v>44.9</v>
      </c>
    </row>
    <row r="56" spans="2:12">
      <c r="B56" s="166"/>
      <c r="C56" s="157">
        <v>1994</v>
      </c>
      <c r="D56" s="159">
        <v>22.7</v>
      </c>
      <c r="E56" s="167">
        <v>24.4</v>
      </c>
      <c r="F56" s="167">
        <v>21.5</v>
      </c>
      <c r="G56" s="167">
        <v>20.6</v>
      </c>
      <c r="H56" s="167">
        <v>22.7</v>
      </c>
      <c r="I56" s="167">
        <v>19</v>
      </c>
      <c r="J56" s="167">
        <v>45.5</v>
      </c>
      <c r="K56" s="167">
        <v>43.4</v>
      </c>
      <c r="L56" s="167">
        <v>46.4</v>
      </c>
    </row>
    <row r="57" spans="2:12" s="14" customFormat="1">
      <c r="B57" s="166"/>
      <c r="C57" s="158" t="s">
        <v>56</v>
      </c>
      <c r="D57" s="159">
        <v>23.4</v>
      </c>
      <c r="E57" s="168">
        <v>25.2</v>
      </c>
      <c r="F57" s="168">
        <v>22</v>
      </c>
      <c r="G57" s="168">
        <v>21.1</v>
      </c>
      <c r="H57" s="168">
        <v>23.3</v>
      </c>
      <c r="I57" s="168">
        <v>19.399999999999999</v>
      </c>
      <c r="J57" s="168">
        <v>47.1</v>
      </c>
      <c r="K57" s="168">
        <v>45.6</v>
      </c>
      <c r="L57" s="168">
        <v>47.6</v>
      </c>
    </row>
    <row r="58" spans="2:12">
      <c r="B58" s="166"/>
      <c r="C58" s="158" t="s">
        <v>57</v>
      </c>
      <c r="D58" s="159">
        <v>24</v>
      </c>
      <c r="E58" s="168">
        <v>26.1</v>
      </c>
      <c r="F58" s="168">
        <v>22.4</v>
      </c>
      <c r="G58" s="168">
        <v>21.6</v>
      </c>
      <c r="H58" s="168">
        <v>24.4</v>
      </c>
      <c r="I58" s="168">
        <v>19.600000000000001</v>
      </c>
      <c r="J58" s="168">
        <v>47.9</v>
      </c>
      <c r="K58" s="168">
        <v>45</v>
      </c>
      <c r="L58" s="168">
        <v>49.5</v>
      </c>
    </row>
    <row r="59" spans="2:12">
      <c r="B59" s="166"/>
      <c r="C59" s="158" t="s">
        <v>58</v>
      </c>
      <c r="D59" s="159">
        <v>24</v>
      </c>
      <c r="E59" s="168">
        <v>26.2</v>
      </c>
      <c r="F59" s="168">
        <v>22.3</v>
      </c>
      <c r="G59" s="168">
        <v>21.5</v>
      </c>
      <c r="H59" s="168">
        <v>24.2</v>
      </c>
      <c r="I59" s="168">
        <v>19.5</v>
      </c>
      <c r="J59" s="168">
        <v>48.5</v>
      </c>
      <c r="K59" s="168">
        <v>47</v>
      </c>
      <c r="L59" s="168">
        <v>48.8</v>
      </c>
    </row>
    <row r="60" spans="2:12">
      <c r="B60" s="11"/>
      <c r="C60" s="158" t="s">
        <v>59</v>
      </c>
      <c r="D60" s="168">
        <v>24.2</v>
      </c>
      <c r="E60" s="168">
        <v>26.7</v>
      </c>
      <c r="F60" s="168">
        <v>22.3</v>
      </c>
      <c r="G60" s="168">
        <v>21.9</v>
      </c>
      <c r="H60" s="168">
        <v>24.9</v>
      </c>
      <c r="I60" s="168">
        <v>19.600000000000001</v>
      </c>
      <c r="J60" s="168">
        <v>48.4</v>
      </c>
      <c r="K60" s="168">
        <v>46.6</v>
      </c>
      <c r="L60" s="168">
        <v>49</v>
      </c>
    </row>
    <row r="61" spans="2:12">
      <c r="B61" s="11"/>
      <c r="C61" s="139">
        <v>1999</v>
      </c>
      <c r="D61" s="127">
        <v>25.2</v>
      </c>
      <c r="E61" s="168">
        <v>27.7</v>
      </c>
      <c r="F61" s="168">
        <v>23.3</v>
      </c>
      <c r="G61" s="168">
        <v>22.8</v>
      </c>
      <c r="H61" s="168">
        <v>25.8</v>
      </c>
      <c r="I61" s="168">
        <v>20.5</v>
      </c>
      <c r="J61" s="168">
        <v>50.1</v>
      </c>
      <c r="K61" s="168">
        <v>48.6</v>
      </c>
      <c r="L61" s="168">
        <v>50.4</v>
      </c>
    </row>
    <row r="62" spans="2:12">
      <c r="B62" s="11"/>
      <c r="C62" s="56">
        <v>2000</v>
      </c>
      <c r="D62" s="127">
        <v>25.2</v>
      </c>
      <c r="E62" s="127">
        <v>27.6</v>
      </c>
      <c r="F62" s="127">
        <v>23.3</v>
      </c>
      <c r="G62" s="127">
        <v>22.8</v>
      </c>
      <c r="H62" s="127">
        <v>25.8</v>
      </c>
      <c r="I62" s="127">
        <v>20.6</v>
      </c>
      <c r="J62" s="127">
        <v>49.7</v>
      </c>
      <c r="K62" s="127">
        <v>47.8</v>
      </c>
      <c r="L62" s="127">
        <v>50.4</v>
      </c>
    </row>
    <row r="63" spans="2:12">
      <c r="B63" s="11"/>
      <c r="C63" s="56">
        <v>2001</v>
      </c>
      <c r="D63" s="127">
        <v>25.3</v>
      </c>
      <c r="E63" s="127">
        <v>28.1</v>
      </c>
      <c r="F63" s="127">
        <v>23.1</v>
      </c>
      <c r="G63" s="127">
        <v>23</v>
      </c>
      <c r="H63" s="127">
        <v>26.2</v>
      </c>
      <c r="I63" s="127">
        <v>20.5</v>
      </c>
      <c r="J63" s="127">
        <v>49.2</v>
      </c>
      <c r="K63" s="127">
        <v>49.9</v>
      </c>
      <c r="L63" s="127">
        <v>48.1</v>
      </c>
    </row>
    <row r="64" spans="2:12">
      <c r="B64" s="11"/>
      <c r="C64" s="56">
        <v>2002</v>
      </c>
      <c r="D64" s="127">
        <v>25.4</v>
      </c>
      <c r="E64" s="127">
        <v>28.6</v>
      </c>
      <c r="F64" s="127">
        <v>23</v>
      </c>
      <c r="G64" s="127">
        <v>23.1</v>
      </c>
      <c r="H64" s="127">
        <v>26.8</v>
      </c>
      <c r="I64" s="127">
        <v>20.3</v>
      </c>
      <c r="J64" s="127">
        <v>49.5</v>
      </c>
      <c r="K64" s="127">
        <v>49.4</v>
      </c>
      <c r="L64" s="127">
        <v>48.6</v>
      </c>
    </row>
    <row r="65" spans="2:12">
      <c r="B65" s="11"/>
      <c r="C65" s="56">
        <v>2003</v>
      </c>
      <c r="D65" s="127">
        <v>25.3</v>
      </c>
      <c r="E65" s="127">
        <v>28.9</v>
      </c>
      <c r="F65" s="127">
        <v>22.5</v>
      </c>
      <c r="G65" s="127">
        <v>23</v>
      </c>
      <c r="H65" s="127">
        <v>27</v>
      </c>
      <c r="I65" s="127">
        <v>19.899999999999999</v>
      </c>
      <c r="J65" s="127">
        <v>49.2</v>
      </c>
      <c r="K65" s="127">
        <v>50.7</v>
      </c>
      <c r="L65" s="127">
        <v>47.5</v>
      </c>
    </row>
    <row r="66" spans="2:12">
      <c r="B66" s="11"/>
      <c r="C66" s="56">
        <v>2004</v>
      </c>
      <c r="D66" s="127">
        <v>24.5</v>
      </c>
      <c r="E66" s="127">
        <v>28.2</v>
      </c>
      <c r="F66" s="127">
        <v>21.7</v>
      </c>
      <c r="G66" s="127">
        <v>22.3</v>
      </c>
      <c r="H66" s="127">
        <v>26.2</v>
      </c>
      <c r="I66" s="127">
        <v>19.2</v>
      </c>
      <c r="J66" s="127">
        <v>48</v>
      </c>
      <c r="K66" s="127">
        <v>51.3</v>
      </c>
      <c r="L66" s="127">
        <v>45.3</v>
      </c>
    </row>
    <row r="67" spans="2:12">
      <c r="B67" s="11"/>
      <c r="C67" s="56">
        <v>2005</v>
      </c>
      <c r="D67" s="127">
        <v>24.6</v>
      </c>
      <c r="E67" s="127">
        <v>28.4</v>
      </c>
      <c r="F67" s="127">
        <v>21.6</v>
      </c>
      <c r="G67" s="127">
        <v>22.5</v>
      </c>
      <c r="H67" s="127">
        <v>26.5</v>
      </c>
      <c r="I67" s="127">
        <v>19.3</v>
      </c>
      <c r="J67" s="127">
        <v>46.9</v>
      </c>
      <c r="K67" s="127">
        <v>50.8</v>
      </c>
      <c r="L67" s="127">
        <v>43.8</v>
      </c>
    </row>
    <row r="68" spans="2:12">
      <c r="B68" s="11"/>
      <c r="C68" s="56">
        <v>2006</v>
      </c>
      <c r="D68" s="127">
        <v>23.3</v>
      </c>
      <c r="E68" s="127">
        <v>27.4</v>
      </c>
      <c r="F68" s="127">
        <v>20.100000000000001</v>
      </c>
      <c r="G68" s="127">
        <v>21.2</v>
      </c>
      <c r="H68" s="127">
        <v>25.4</v>
      </c>
      <c r="I68" s="127">
        <v>17.899999999999999</v>
      </c>
      <c r="J68" s="127">
        <v>45.1</v>
      </c>
      <c r="K68" s="127">
        <v>49.7</v>
      </c>
      <c r="L68" s="127">
        <v>41.6</v>
      </c>
    </row>
    <row r="69" spans="2:12">
      <c r="B69" s="11"/>
      <c r="C69" s="56">
        <v>2007</v>
      </c>
      <c r="D69" s="127">
        <v>22.5</v>
      </c>
      <c r="E69" s="127">
        <v>26.4</v>
      </c>
      <c r="F69" s="127">
        <v>19.5</v>
      </c>
      <c r="G69" s="127">
        <v>20.5</v>
      </c>
      <c r="H69" s="127">
        <v>24.6</v>
      </c>
      <c r="I69" s="127">
        <v>17.2</v>
      </c>
      <c r="J69" s="127">
        <v>42.8</v>
      </c>
      <c r="K69" s="127">
        <v>45.9</v>
      </c>
      <c r="L69" s="127">
        <v>40.200000000000003</v>
      </c>
    </row>
    <row r="70" spans="2:12">
      <c r="B70" s="11"/>
      <c r="C70" s="56">
        <v>2008</v>
      </c>
      <c r="D70" s="127">
        <v>21.8</v>
      </c>
      <c r="E70" s="127">
        <v>25.6</v>
      </c>
      <c r="F70" s="127">
        <v>18.8</v>
      </c>
      <c r="G70" s="127">
        <v>19.899999999999999</v>
      </c>
      <c r="H70" s="127">
        <v>23.9</v>
      </c>
      <c r="I70" s="127">
        <v>16.7</v>
      </c>
      <c r="J70" s="127">
        <v>40.5</v>
      </c>
      <c r="K70" s="127">
        <v>44.8</v>
      </c>
      <c r="L70" s="127">
        <v>37.200000000000003</v>
      </c>
    </row>
    <row r="71" spans="2:12">
      <c r="B71" s="11"/>
      <c r="C71" s="56">
        <v>2009</v>
      </c>
      <c r="D71" s="127">
        <v>20.9</v>
      </c>
      <c r="E71" s="127">
        <v>25</v>
      </c>
      <c r="F71" s="127">
        <v>17.7</v>
      </c>
      <c r="G71" s="127">
        <v>19.100000000000001</v>
      </c>
      <c r="H71" s="127">
        <v>23.3</v>
      </c>
      <c r="I71" s="127">
        <v>15.7</v>
      </c>
      <c r="J71" s="127">
        <v>39.5</v>
      </c>
      <c r="K71" s="127">
        <v>44.2</v>
      </c>
      <c r="L71" s="127">
        <v>35.9</v>
      </c>
    </row>
    <row r="72" spans="2:12">
      <c r="B72" s="11"/>
      <c r="C72" s="56">
        <v>2010</v>
      </c>
      <c r="D72" s="127">
        <v>20.8</v>
      </c>
      <c r="E72" s="127">
        <v>24.9</v>
      </c>
      <c r="F72" s="127">
        <v>17.600000000000001</v>
      </c>
      <c r="G72" s="127">
        <v>19</v>
      </c>
      <c r="H72" s="127">
        <v>23.1</v>
      </c>
      <c r="I72" s="127">
        <v>15.6</v>
      </c>
      <c r="J72" s="127">
        <v>38.700000000000003</v>
      </c>
      <c r="K72" s="127">
        <v>43.6</v>
      </c>
      <c r="L72" s="127">
        <v>35.1</v>
      </c>
    </row>
    <row r="73" spans="2:12">
      <c r="B73" s="11"/>
      <c r="C73" s="56">
        <v>2011</v>
      </c>
      <c r="D73" s="127">
        <v>21.6</v>
      </c>
      <c r="E73" s="127">
        <v>26</v>
      </c>
      <c r="F73" s="127">
        <v>18.2</v>
      </c>
      <c r="G73" s="127">
        <v>19.8</v>
      </c>
      <c r="H73" s="127">
        <v>24.3</v>
      </c>
      <c r="I73" s="127">
        <v>16.2</v>
      </c>
      <c r="J73" s="127">
        <v>39.6</v>
      </c>
      <c r="K73" s="127">
        <v>44.9</v>
      </c>
      <c r="L73" s="127">
        <v>35.799999999999997</v>
      </c>
    </row>
    <row r="74" spans="2:12">
      <c r="B74" s="11"/>
      <c r="C74" s="56">
        <v>2012</v>
      </c>
      <c r="D74" s="127">
        <v>21.2</v>
      </c>
      <c r="E74" s="127">
        <v>25.5</v>
      </c>
      <c r="F74" s="127">
        <v>17.7</v>
      </c>
      <c r="G74" s="127">
        <v>19.399999999999999</v>
      </c>
      <c r="H74" s="127">
        <v>23.8</v>
      </c>
      <c r="I74" s="127">
        <v>15.8</v>
      </c>
      <c r="J74" s="127">
        <v>38.700000000000003</v>
      </c>
      <c r="K74" s="127">
        <v>43.8</v>
      </c>
      <c r="L74" s="127">
        <v>34.700000000000003</v>
      </c>
    </row>
    <row r="75" spans="2:12">
      <c r="B75" s="65"/>
      <c r="C75" s="57"/>
      <c r="D75" s="175"/>
      <c r="E75" s="175"/>
      <c r="F75" s="175"/>
      <c r="G75" s="175"/>
      <c r="H75" s="175"/>
      <c r="I75" s="175"/>
      <c r="J75" s="175"/>
      <c r="K75" s="175"/>
      <c r="L75" s="175"/>
    </row>
    <row r="76" spans="2:12" ht="27.75" customHeight="1">
      <c r="B76" s="347" t="s">
        <v>613</v>
      </c>
      <c r="C76" s="348"/>
      <c r="D76" s="348"/>
      <c r="E76" s="348"/>
      <c r="F76" s="348"/>
      <c r="G76" s="348"/>
      <c r="H76" s="348"/>
      <c r="I76" s="348"/>
      <c r="J76" s="348"/>
      <c r="K76" s="348"/>
      <c r="L76" s="348"/>
    </row>
    <row r="77" spans="2:12" ht="56.25" customHeight="1">
      <c r="B77" s="347" t="s">
        <v>60</v>
      </c>
      <c r="C77" s="348"/>
      <c r="D77" s="348"/>
      <c r="E77" s="348"/>
      <c r="F77" s="348"/>
      <c r="G77" s="348"/>
      <c r="H77" s="348"/>
      <c r="I77" s="348"/>
      <c r="J77" s="348"/>
      <c r="K77" s="348"/>
      <c r="L77" s="348"/>
    </row>
    <row r="78" spans="2:12" ht="85.5" customHeight="1">
      <c r="B78" s="347" t="s">
        <v>113</v>
      </c>
      <c r="C78" s="348"/>
      <c r="D78" s="348"/>
      <c r="E78" s="348"/>
      <c r="F78" s="348"/>
      <c r="G78" s="348"/>
      <c r="H78" s="348"/>
      <c r="I78" s="348"/>
      <c r="J78" s="348"/>
      <c r="K78" s="348"/>
      <c r="L78" s="348"/>
    </row>
    <row r="79" spans="2:12" ht="30.7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108</v>
      </c>
      <c r="C2" s="4"/>
      <c r="D2" s="4"/>
      <c r="E2" s="4"/>
      <c r="F2" s="4"/>
      <c r="G2" s="4"/>
      <c r="H2" s="4"/>
      <c r="I2" s="4"/>
      <c r="J2" s="4"/>
      <c r="K2" s="4"/>
      <c r="L2" s="4"/>
    </row>
    <row r="3" spans="1:12" ht="15.75">
      <c r="B3" s="5" t="s">
        <v>109</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17.2</v>
      </c>
      <c r="E7" s="174">
        <v>24.7</v>
      </c>
      <c r="F7" s="174">
        <v>11</v>
      </c>
      <c r="G7" s="174">
        <v>14.6</v>
      </c>
      <c r="H7" s="174">
        <v>21.2</v>
      </c>
      <c r="I7" s="174">
        <v>9.1999999999999993</v>
      </c>
      <c r="J7" s="174">
        <v>36.6</v>
      </c>
      <c r="K7" s="174">
        <v>52.4</v>
      </c>
      <c r="L7" s="174">
        <v>23.5</v>
      </c>
    </row>
    <row r="8" spans="1:12">
      <c r="B8" s="11"/>
      <c r="C8" s="157" t="s">
        <v>252</v>
      </c>
      <c r="D8" s="160">
        <v>15.8</v>
      </c>
      <c r="E8" s="160">
        <v>22.4</v>
      </c>
      <c r="F8" s="160">
        <v>10.199999999999999</v>
      </c>
      <c r="G8" s="160">
        <v>13.7</v>
      </c>
      <c r="H8" s="160">
        <v>19.8</v>
      </c>
      <c r="I8" s="160">
        <v>8.5</v>
      </c>
      <c r="J8" s="160">
        <v>32.299999999999997</v>
      </c>
      <c r="K8" s="160">
        <v>44.6</v>
      </c>
      <c r="L8" s="160">
        <v>22.2</v>
      </c>
    </row>
    <row r="9" spans="1:12">
      <c r="B9" s="11"/>
      <c r="C9" s="157" t="s">
        <v>253</v>
      </c>
      <c r="D9" s="160">
        <v>15.9</v>
      </c>
      <c r="E9" s="160">
        <v>22.5</v>
      </c>
      <c r="F9" s="160">
        <v>10.3</v>
      </c>
      <c r="G9" s="160">
        <v>13.6</v>
      </c>
      <c r="H9" s="160">
        <v>19.899999999999999</v>
      </c>
      <c r="I9" s="160">
        <v>8.5</v>
      </c>
      <c r="J9" s="160">
        <v>32.299999999999997</v>
      </c>
      <c r="K9" s="160">
        <v>44.7</v>
      </c>
      <c r="L9" s="160">
        <v>22.1</v>
      </c>
    </row>
    <row r="10" spans="1:12">
      <c r="B10" s="11"/>
      <c r="C10" s="157" t="s">
        <v>254</v>
      </c>
      <c r="D10" s="160">
        <v>15.6</v>
      </c>
      <c r="E10" s="160">
        <v>23.2</v>
      </c>
      <c r="F10" s="160">
        <v>9.1</v>
      </c>
      <c r="G10" s="160">
        <v>13.5</v>
      </c>
      <c r="H10" s="160">
        <v>20</v>
      </c>
      <c r="I10" s="160">
        <v>8</v>
      </c>
      <c r="J10" s="160">
        <v>31.4</v>
      </c>
      <c r="K10" s="160">
        <v>49.8</v>
      </c>
      <c r="L10" s="160">
        <v>16.399999999999999</v>
      </c>
    </row>
    <row r="11" spans="1:12">
      <c r="B11" s="11"/>
      <c r="C11" s="157" t="s">
        <v>255</v>
      </c>
      <c r="D11" s="160">
        <v>14.7</v>
      </c>
      <c r="E11" s="160">
        <v>21</v>
      </c>
      <c r="F11" s="160">
        <v>9.5</v>
      </c>
      <c r="G11" s="160">
        <v>12.6</v>
      </c>
      <c r="H11" s="160">
        <v>18.100000000000001</v>
      </c>
      <c r="I11" s="160">
        <v>8.1</v>
      </c>
      <c r="J11" s="160">
        <v>30.3</v>
      </c>
      <c r="K11" s="160">
        <v>43.7</v>
      </c>
      <c r="L11" s="160">
        <v>19.3</v>
      </c>
    </row>
    <row r="12" spans="1:12" ht="15.75">
      <c r="B12" s="156"/>
      <c r="C12" s="157" t="s">
        <v>256</v>
      </c>
      <c r="D12" s="160">
        <v>15.3</v>
      </c>
      <c r="E12" s="160">
        <v>22.1</v>
      </c>
      <c r="F12" s="160">
        <v>9.6</v>
      </c>
      <c r="G12" s="160">
        <v>12.7</v>
      </c>
      <c r="H12" s="160">
        <v>18.2</v>
      </c>
      <c r="I12" s="160">
        <v>8.1</v>
      </c>
      <c r="J12" s="160">
        <v>34.6</v>
      </c>
      <c r="K12" s="160">
        <v>53.2</v>
      </c>
      <c r="L12" s="160">
        <v>19.5</v>
      </c>
    </row>
    <row r="13" spans="1:12">
      <c r="B13" s="11"/>
      <c r="C13" s="157" t="s">
        <v>257</v>
      </c>
      <c r="D13" s="160">
        <v>13.6</v>
      </c>
      <c r="E13" s="160">
        <v>20.5</v>
      </c>
      <c r="F13" s="160">
        <v>7.9</v>
      </c>
      <c r="G13" s="160">
        <v>11.7</v>
      </c>
      <c r="H13" s="160">
        <v>17.399999999999999</v>
      </c>
      <c r="I13" s="160">
        <v>7</v>
      </c>
      <c r="J13" s="160">
        <v>27.6</v>
      </c>
      <c r="K13" s="160">
        <v>45</v>
      </c>
      <c r="L13" s="160">
        <v>13.5</v>
      </c>
    </row>
    <row r="14" spans="1:12">
      <c r="B14" s="11"/>
      <c r="C14" s="157" t="s">
        <v>258</v>
      </c>
      <c r="D14" s="160">
        <v>13</v>
      </c>
      <c r="E14" s="160">
        <v>19.2</v>
      </c>
      <c r="F14" s="160">
        <v>7.9</v>
      </c>
      <c r="G14" s="160">
        <v>10.7</v>
      </c>
      <c r="H14" s="160">
        <v>15.9</v>
      </c>
      <c r="I14" s="160">
        <v>6.4</v>
      </c>
      <c r="J14" s="160">
        <v>29.5</v>
      </c>
      <c r="K14" s="160">
        <v>44.7</v>
      </c>
      <c r="L14" s="160">
        <v>17.5</v>
      </c>
    </row>
    <row r="15" spans="1:12" ht="15.75">
      <c r="B15" s="156" t="s">
        <v>52</v>
      </c>
      <c r="C15" s="157" t="s">
        <v>259</v>
      </c>
      <c r="D15" s="160">
        <v>12.9</v>
      </c>
      <c r="E15" s="160">
        <v>18.7</v>
      </c>
      <c r="F15" s="160">
        <v>7.9</v>
      </c>
      <c r="G15" s="160">
        <v>10.7</v>
      </c>
      <c r="H15" s="160">
        <v>15.6</v>
      </c>
      <c r="I15" s="160">
        <v>6.5</v>
      </c>
      <c r="J15" s="160">
        <v>28.4</v>
      </c>
      <c r="K15" s="160">
        <v>42.7</v>
      </c>
      <c r="L15" s="160">
        <v>16.899999999999999</v>
      </c>
    </row>
    <row r="16" spans="1:12">
      <c r="B16" s="11"/>
      <c r="C16" s="157" t="s">
        <v>260</v>
      </c>
      <c r="D16" s="160">
        <v>13.7</v>
      </c>
      <c r="E16" s="160">
        <v>20</v>
      </c>
      <c r="F16" s="160">
        <v>8.3000000000000007</v>
      </c>
      <c r="G16" s="160">
        <v>11.4</v>
      </c>
      <c r="H16" s="160">
        <v>16.399999999999999</v>
      </c>
      <c r="I16" s="160">
        <v>7.2</v>
      </c>
      <c r="J16" s="160">
        <v>30.6</v>
      </c>
      <c r="K16" s="160">
        <v>48.1</v>
      </c>
      <c r="L16" s="160">
        <v>16.3</v>
      </c>
    </row>
    <row r="17" spans="2:12">
      <c r="B17" s="11"/>
      <c r="C17" s="157" t="s">
        <v>167</v>
      </c>
      <c r="D17" s="160">
        <v>13.1</v>
      </c>
      <c r="E17" s="160">
        <v>18.2</v>
      </c>
      <c r="F17" s="160">
        <v>8.6999999999999993</v>
      </c>
      <c r="G17" s="160">
        <v>11.1</v>
      </c>
      <c r="H17" s="160">
        <v>15.3</v>
      </c>
      <c r="I17" s="160">
        <v>7.5</v>
      </c>
      <c r="J17" s="160">
        <v>26.9</v>
      </c>
      <c r="K17" s="160">
        <v>40.6</v>
      </c>
      <c r="L17" s="160">
        <v>15.9</v>
      </c>
    </row>
    <row r="18" spans="2:12">
      <c r="B18" s="11"/>
      <c r="C18" s="157" t="s">
        <v>168</v>
      </c>
      <c r="D18" s="160">
        <v>12.2</v>
      </c>
      <c r="E18" s="160">
        <v>18.100000000000001</v>
      </c>
      <c r="F18" s="160">
        <v>7.4</v>
      </c>
      <c r="G18" s="160">
        <v>10.8</v>
      </c>
      <c r="H18" s="160">
        <v>16.2</v>
      </c>
      <c r="I18" s="160">
        <v>6.5</v>
      </c>
      <c r="J18" s="160">
        <v>22</v>
      </c>
      <c r="K18" s="160">
        <v>33.200000000000003</v>
      </c>
      <c r="L18" s="160">
        <v>13</v>
      </c>
    </row>
    <row r="19" spans="2:12">
      <c r="B19" s="11"/>
      <c r="C19" s="157" t="s">
        <v>169</v>
      </c>
      <c r="D19" s="160">
        <v>10.6</v>
      </c>
      <c r="E19" s="160">
        <v>15.3</v>
      </c>
      <c r="F19" s="160">
        <v>6.6</v>
      </c>
      <c r="G19" s="160">
        <v>9.1</v>
      </c>
      <c r="H19" s="160">
        <v>13.2</v>
      </c>
      <c r="I19" s="160">
        <v>5.5</v>
      </c>
      <c r="J19" s="160">
        <v>20.8</v>
      </c>
      <c r="K19" s="160">
        <v>29.8</v>
      </c>
      <c r="L19" s="160">
        <v>13.6</v>
      </c>
    </row>
    <row r="20" spans="2:12">
      <c r="B20" s="11"/>
      <c r="C20" s="157" t="s">
        <v>170</v>
      </c>
      <c r="D20" s="160">
        <v>11.2</v>
      </c>
      <c r="E20" s="160">
        <v>15.5</v>
      </c>
      <c r="F20" s="160">
        <v>7.4</v>
      </c>
      <c r="G20" s="160">
        <v>9.6999999999999993</v>
      </c>
      <c r="H20" s="160">
        <v>13.2</v>
      </c>
      <c r="I20" s="160">
        <v>6.6</v>
      </c>
      <c r="J20" s="160">
        <v>21</v>
      </c>
      <c r="K20" s="160">
        <v>32.5</v>
      </c>
      <c r="L20" s="160">
        <v>11.8</v>
      </c>
    </row>
    <row r="21" spans="2:12">
      <c r="B21" s="11"/>
      <c r="C21" s="157">
        <v>1994</v>
      </c>
      <c r="D21" s="160">
        <v>11.4</v>
      </c>
      <c r="E21" s="160">
        <v>16.2</v>
      </c>
      <c r="F21" s="160">
        <v>7.2</v>
      </c>
      <c r="G21" s="160">
        <v>9.9</v>
      </c>
      <c r="H21" s="160">
        <v>14.5</v>
      </c>
      <c r="I21" s="160">
        <v>5.9</v>
      </c>
      <c r="J21" s="160">
        <v>21.5</v>
      </c>
      <c r="K21" s="160">
        <v>29.7</v>
      </c>
      <c r="L21" s="160">
        <v>14.7</v>
      </c>
    </row>
    <row r="22" spans="2:12" s="14" customFormat="1">
      <c r="B22" s="11"/>
      <c r="C22" s="157">
        <v>1995</v>
      </c>
      <c r="D22" s="160">
        <v>10.8</v>
      </c>
      <c r="E22" s="160">
        <v>16.399999999999999</v>
      </c>
      <c r="F22" s="160">
        <v>6</v>
      </c>
      <c r="G22" s="160">
        <v>9.5</v>
      </c>
      <c r="H22" s="160">
        <v>14.3</v>
      </c>
      <c r="I22" s="160">
        <v>5.4</v>
      </c>
      <c r="J22" s="160">
        <v>19.600000000000001</v>
      </c>
      <c r="K22" s="160">
        <v>32.4</v>
      </c>
      <c r="L22" s="160">
        <v>9.6</v>
      </c>
    </row>
    <row r="23" spans="2:12">
      <c r="B23" s="11"/>
      <c r="C23" s="157">
        <v>1996</v>
      </c>
      <c r="D23" s="160">
        <v>10.3</v>
      </c>
      <c r="E23" s="160">
        <v>14.5</v>
      </c>
      <c r="F23" s="160">
        <v>6.6</v>
      </c>
      <c r="G23" s="160">
        <v>9.3000000000000007</v>
      </c>
      <c r="H23" s="160">
        <v>12.8</v>
      </c>
      <c r="I23" s="160">
        <v>6.2</v>
      </c>
      <c r="J23" s="160">
        <v>17</v>
      </c>
      <c r="K23" s="160">
        <v>27.7</v>
      </c>
      <c r="L23" s="160">
        <v>8.5</v>
      </c>
    </row>
    <row r="24" spans="2:12">
      <c r="B24" s="11"/>
      <c r="C24" s="157">
        <v>1997</v>
      </c>
      <c r="D24" s="160">
        <v>10.1</v>
      </c>
      <c r="E24" s="160">
        <v>14.1</v>
      </c>
      <c r="F24" s="160">
        <v>6.6</v>
      </c>
      <c r="G24" s="160">
        <v>9.1</v>
      </c>
      <c r="H24" s="160">
        <v>12.6</v>
      </c>
      <c r="I24" s="160">
        <v>6</v>
      </c>
      <c r="J24" s="160">
        <v>17.2</v>
      </c>
      <c r="K24" s="160">
        <v>26.1</v>
      </c>
      <c r="L24" s="160">
        <v>9.9</v>
      </c>
    </row>
    <row r="25" spans="2:12">
      <c r="B25" s="11"/>
      <c r="C25" s="157">
        <v>1998</v>
      </c>
      <c r="D25" s="160">
        <v>10.199999999999999</v>
      </c>
      <c r="E25" s="160">
        <v>14.4</v>
      </c>
      <c r="F25" s="160">
        <v>6.3</v>
      </c>
      <c r="G25" s="160">
        <v>9.5</v>
      </c>
      <c r="H25" s="160">
        <v>13.6</v>
      </c>
      <c r="I25" s="160">
        <v>5.8</v>
      </c>
      <c r="J25" s="160">
        <v>14.7</v>
      </c>
      <c r="K25" s="160">
        <v>21.6</v>
      </c>
      <c r="L25" s="160">
        <v>9</v>
      </c>
    </row>
    <row r="26" spans="2:12">
      <c r="B26" s="11"/>
      <c r="C26" s="157">
        <v>1999</v>
      </c>
      <c r="D26" s="160">
        <v>10.5</v>
      </c>
      <c r="E26" s="160">
        <v>14.4</v>
      </c>
      <c r="F26" s="160">
        <v>7</v>
      </c>
      <c r="G26" s="160">
        <v>9.6</v>
      </c>
      <c r="H26" s="160">
        <v>13.4</v>
      </c>
      <c r="I26" s="160">
        <v>6.1</v>
      </c>
      <c r="J26" s="160">
        <v>17</v>
      </c>
      <c r="K26" s="160">
        <v>22.9</v>
      </c>
      <c r="L26" s="160">
        <v>12.2</v>
      </c>
    </row>
    <row r="27" spans="2:12">
      <c r="B27" s="11"/>
      <c r="C27" s="157">
        <v>2000</v>
      </c>
      <c r="D27" s="160">
        <v>10.4</v>
      </c>
      <c r="E27" s="160">
        <v>14.2</v>
      </c>
      <c r="F27" s="160">
        <v>7</v>
      </c>
      <c r="G27" s="160">
        <v>9.6</v>
      </c>
      <c r="H27" s="160">
        <v>13.1</v>
      </c>
      <c r="I27" s="160">
        <v>6.5</v>
      </c>
      <c r="J27" s="160">
        <v>15.8</v>
      </c>
      <c r="K27" s="160">
        <v>23.1</v>
      </c>
      <c r="L27" s="160">
        <v>10.1</v>
      </c>
    </row>
    <row r="28" spans="2:12">
      <c r="B28" s="11"/>
      <c r="C28" s="8">
        <v>2001</v>
      </c>
      <c r="D28" s="160">
        <v>10.5</v>
      </c>
      <c r="E28" s="160">
        <v>14.1</v>
      </c>
      <c r="F28" s="160">
        <v>7.2</v>
      </c>
      <c r="G28" s="160">
        <v>10.1</v>
      </c>
      <c r="H28" s="160">
        <v>13.6</v>
      </c>
      <c r="I28" s="160">
        <v>6.9</v>
      </c>
      <c r="J28" s="160">
        <v>13.5</v>
      </c>
      <c r="K28" s="160">
        <v>19.8</v>
      </c>
      <c r="L28" s="160">
        <v>8.6</v>
      </c>
    </row>
    <row r="29" spans="2:12">
      <c r="B29" s="11"/>
      <c r="C29" s="157">
        <v>2002</v>
      </c>
      <c r="D29" s="159">
        <v>9.6</v>
      </c>
      <c r="E29" s="159">
        <v>12.7</v>
      </c>
      <c r="F29" s="159">
        <v>6.7</v>
      </c>
      <c r="G29" s="159">
        <v>9</v>
      </c>
      <c r="H29" s="159">
        <v>11.9</v>
      </c>
      <c r="I29" s="159">
        <v>6.4</v>
      </c>
      <c r="J29" s="159">
        <v>13.2</v>
      </c>
      <c r="K29" s="159">
        <v>19.399999999999999</v>
      </c>
      <c r="L29" s="159">
        <v>8.3000000000000007</v>
      </c>
    </row>
    <row r="30" spans="2:12">
      <c r="B30" s="11"/>
      <c r="C30" s="157">
        <v>2003</v>
      </c>
      <c r="D30" s="159">
        <v>9.6</v>
      </c>
      <c r="E30" s="159">
        <v>13.3</v>
      </c>
      <c r="F30" s="159">
        <v>6.2</v>
      </c>
      <c r="G30" s="159">
        <v>9.1</v>
      </c>
      <c r="H30" s="159">
        <v>12.4</v>
      </c>
      <c r="I30" s="159">
        <v>6</v>
      </c>
      <c r="J30" s="159">
        <v>12.8</v>
      </c>
      <c r="K30" s="159">
        <v>20.2</v>
      </c>
      <c r="L30" s="159">
        <v>6.8</v>
      </c>
    </row>
    <row r="31" spans="2:12">
      <c r="B31" s="11"/>
      <c r="C31" s="157">
        <v>2004</v>
      </c>
      <c r="D31" s="159">
        <v>9.1999999999999993</v>
      </c>
      <c r="E31" s="159">
        <v>12.8</v>
      </c>
      <c r="F31" s="159">
        <v>6.1</v>
      </c>
      <c r="G31" s="159">
        <v>8.9</v>
      </c>
      <c r="H31" s="159">
        <v>12.4</v>
      </c>
      <c r="I31" s="159">
        <v>5.7</v>
      </c>
      <c r="J31" s="159">
        <v>10.1</v>
      </c>
      <c r="K31" s="159">
        <v>13.7</v>
      </c>
      <c r="L31" s="159">
        <v>7.3</v>
      </c>
    </row>
    <row r="32" spans="2:12">
      <c r="B32" s="11"/>
      <c r="C32" s="157">
        <v>2005</v>
      </c>
      <c r="D32" s="159">
        <v>9.5</v>
      </c>
      <c r="E32" s="159">
        <v>13</v>
      </c>
      <c r="F32" s="159">
        <v>6.4</v>
      </c>
      <c r="G32" s="159">
        <v>9.3000000000000007</v>
      </c>
      <c r="H32" s="159">
        <v>12.3</v>
      </c>
      <c r="I32" s="159">
        <v>6.4</v>
      </c>
      <c r="J32" s="159">
        <v>10.3</v>
      </c>
      <c r="K32" s="159">
        <v>15.6</v>
      </c>
      <c r="L32" s="159">
        <v>5.9</v>
      </c>
    </row>
    <row r="33" spans="2:12">
      <c r="B33" s="11"/>
      <c r="C33" s="157">
        <v>2006</v>
      </c>
      <c r="D33" s="159">
        <v>9.1</v>
      </c>
      <c r="E33" s="159">
        <v>13</v>
      </c>
      <c r="F33" s="159">
        <v>5.6</v>
      </c>
      <c r="G33" s="159">
        <v>8.9</v>
      </c>
      <c r="H33" s="159">
        <v>12.9</v>
      </c>
      <c r="I33" s="159">
        <v>5.3</v>
      </c>
      <c r="J33" s="159">
        <v>8.6</v>
      </c>
      <c r="K33" s="159">
        <v>12.2</v>
      </c>
      <c r="L33" s="159">
        <v>5.7</v>
      </c>
    </row>
    <row r="34" spans="2:12">
      <c r="B34" s="11"/>
      <c r="C34" s="157">
        <v>2007</v>
      </c>
      <c r="D34" s="159">
        <v>9.1</v>
      </c>
      <c r="E34" s="159">
        <v>12.7</v>
      </c>
      <c r="F34" s="159">
        <v>6</v>
      </c>
      <c r="G34" s="159">
        <v>9.1</v>
      </c>
      <c r="H34" s="159">
        <v>12.7</v>
      </c>
      <c r="I34" s="159">
        <v>5.9</v>
      </c>
      <c r="J34" s="159">
        <v>7.9</v>
      </c>
      <c r="K34" s="159">
        <v>11.8</v>
      </c>
      <c r="L34" s="159">
        <v>4.9000000000000004</v>
      </c>
    </row>
    <row r="35" spans="2:12">
      <c r="B35" s="11"/>
      <c r="C35" s="157">
        <v>2008</v>
      </c>
      <c r="D35" s="159">
        <v>9.6999999999999993</v>
      </c>
      <c r="E35" s="159">
        <v>13.2</v>
      </c>
      <c r="F35" s="159">
        <v>6.4</v>
      </c>
      <c r="G35" s="159">
        <v>9.6999999999999993</v>
      </c>
      <c r="H35" s="159">
        <v>13.1</v>
      </c>
      <c r="I35" s="159">
        <v>6.5</v>
      </c>
      <c r="J35" s="159">
        <v>8.6999999999999993</v>
      </c>
      <c r="K35" s="159">
        <v>12.1</v>
      </c>
      <c r="L35" s="159">
        <v>5.9</v>
      </c>
    </row>
    <row r="36" spans="2:12">
      <c r="B36" s="11"/>
      <c r="C36" s="157">
        <v>2009</v>
      </c>
      <c r="D36" s="159">
        <v>9.5</v>
      </c>
      <c r="E36" s="159">
        <v>12.8</v>
      </c>
      <c r="F36" s="159">
        <v>6.5</v>
      </c>
      <c r="G36" s="159">
        <v>9.1999999999999993</v>
      </c>
      <c r="H36" s="159">
        <v>12.3</v>
      </c>
      <c r="I36" s="159">
        <v>6.5</v>
      </c>
      <c r="J36" s="159">
        <v>9.3000000000000007</v>
      </c>
      <c r="K36" s="159">
        <v>14.1</v>
      </c>
      <c r="L36" s="159">
        <v>5.6</v>
      </c>
    </row>
    <row r="37" spans="2:12">
      <c r="B37" s="11"/>
      <c r="C37" s="157">
        <v>2010</v>
      </c>
      <c r="D37" s="159">
        <v>9.9</v>
      </c>
      <c r="E37" s="159">
        <v>13.6</v>
      </c>
      <c r="F37" s="159">
        <v>6.7</v>
      </c>
      <c r="G37" s="159">
        <v>9.8000000000000007</v>
      </c>
      <c r="H37" s="159">
        <v>13.2</v>
      </c>
      <c r="I37" s="159">
        <v>6.7</v>
      </c>
      <c r="J37" s="159">
        <v>9.4</v>
      </c>
      <c r="K37" s="159">
        <v>13.2</v>
      </c>
      <c r="L37" s="159">
        <v>6.3</v>
      </c>
    </row>
    <row r="38" spans="2:12">
      <c r="B38" s="11"/>
      <c r="C38" s="157">
        <v>2011</v>
      </c>
      <c r="D38" s="159">
        <v>10</v>
      </c>
      <c r="E38" s="159">
        <v>13.5</v>
      </c>
      <c r="F38" s="159">
        <v>6.7</v>
      </c>
      <c r="G38" s="159">
        <v>9.9</v>
      </c>
      <c r="H38" s="159">
        <v>13.3</v>
      </c>
      <c r="I38" s="159">
        <v>6.7</v>
      </c>
      <c r="J38" s="159">
        <v>10.6</v>
      </c>
      <c r="K38" s="159">
        <v>15.2</v>
      </c>
      <c r="L38" s="159">
        <v>6.9</v>
      </c>
    </row>
    <row r="39" spans="2:12">
      <c r="B39" s="11"/>
      <c r="C39" s="157">
        <v>2012</v>
      </c>
      <c r="D39" s="159">
        <v>9.8000000000000007</v>
      </c>
      <c r="E39" s="159">
        <v>12.8</v>
      </c>
      <c r="F39" s="159">
        <v>7</v>
      </c>
      <c r="G39" s="159">
        <v>9.9</v>
      </c>
      <c r="H39" s="159">
        <v>12.8</v>
      </c>
      <c r="I39" s="159">
        <v>7.3</v>
      </c>
      <c r="J39" s="159">
        <v>8</v>
      </c>
      <c r="K39" s="159">
        <v>11.1</v>
      </c>
      <c r="L39" s="159">
        <v>5.5</v>
      </c>
    </row>
    <row r="40" spans="2:12">
      <c r="B40" s="11"/>
      <c r="C40" s="157">
        <v>2013</v>
      </c>
      <c r="D40" s="159">
        <v>10</v>
      </c>
      <c r="E40" s="159">
        <v>13.3</v>
      </c>
      <c r="F40" s="159">
        <v>7</v>
      </c>
      <c r="G40" s="159">
        <v>10.4</v>
      </c>
      <c r="H40" s="159">
        <v>13.8</v>
      </c>
      <c r="I40" s="159">
        <v>7.3</v>
      </c>
      <c r="J40" s="159">
        <v>8.1</v>
      </c>
      <c r="K40" s="159">
        <v>9.8000000000000007</v>
      </c>
      <c r="L40" s="159">
        <v>6.5</v>
      </c>
    </row>
    <row r="41" spans="2:12">
      <c r="B41" s="11"/>
      <c r="C41" s="157"/>
      <c r="D41" s="159"/>
      <c r="E41" s="159"/>
      <c r="F41" s="159"/>
      <c r="G41" s="159"/>
      <c r="H41" s="159"/>
      <c r="I41" s="159"/>
      <c r="J41" s="159"/>
      <c r="K41" s="159"/>
      <c r="L41" s="159"/>
    </row>
    <row r="42" spans="2:12">
      <c r="B42" s="64"/>
      <c r="C42" s="163" t="s">
        <v>166</v>
      </c>
      <c r="D42" s="164">
        <v>15.1</v>
      </c>
      <c r="E42" s="164">
        <v>21.3</v>
      </c>
      <c r="F42" s="164">
        <v>9.9</v>
      </c>
      <c r="G42" s="164">
        <v>13.9</v>
      </c>
      <c r="H42" s="164">
        <v>19.8</v>
      </c>
      <c r="I42" s="164">
        <v>8.9</v>
      </c>
      <c r="J42" s="164">
        <v>25</v>
      </c>
      <c r="K42" s="164">
        <v>35.6</v>
      </c>
      <c r="L42" s="164">
        <v>16.600000000000001</v>
      </c>
    </row>
    <row r="43" spans="2:12">
      <c r="B43" s="11"/>
      <c r="C43" s="157" t="s">
        <v>252</v>
      </c>
      <c r="D43" s="48">
        <v>14.2</v>
      </c>
      <c r="E43" s="48">
        <v>20.2</v>
      </c>
      <c r="F43" s="48">
        <v>9.3000000000000007</v>
      </c>
      <c r="G43" s="48">
        <v>13.2</v>
      </c>
      <c r="H43" s="48">
        <v>18.899999999999999</v>
      </c>
      <c r="I43" s="48">
        <v>8.5</v>
      </c>
      <c r="J43" s="48">
        <v>22.4</v>
      </c>
      <c r="K43" s="48">
        <v>31.9</v>
      </c>
      <c r="L43" s="48">
        <v>14.8</v>
      </c>
    </row>
    <row r="44" spans="2:12">
      <c r="B44" s="11"/>
      <c r="C44" s="157" t="s">
        <v>253</v>
      </c>
      <c r="D44" s="48">
        <v>13.2</v>
      </c>
      <c r="E44" s="48">
        <v>18.8</v>
      </c>
      <c r="F44" s="48">
        <v>8.5</v>
      </c>
      <c r="G44" s="48">
        <v>12.5</v>
      </c>
      <c r="H44" s="48">
        <v>17.899999999999999</v>
      </c>
      <c r="I44" s="48">
        <v>7.9</v>
      </c>
      <c r="J44" s="48">
        <v>19.3</v>
      </c>
      <c r="K44" s="48">
        <v>27.3</v>
      </c>
      <c r="L44" s="48">
        <v>12.8</v>
      </c>
    </row>
    <row r="45" spans="2:12">
      <c r="B45" s="11"/>
      <c r="C45" s="157" t="s">
        <v>254</v>
      </c>
      <c r="D45" s="48">
        <v>12.8</v>
      </c>
      <c r="E45" s="48">
        <v>18.100000000000001</v>
      </c>
      <c r="F45" s="48">
        <v>8.4</v>
      </c>
      <c r="G45" s="48">
        <v>12.1</v>
      </c>
      <c r="H45" s="48">
        <v>17.2</v>
      </c>
      <c r="I45" s="48">
        <v>7.8</v>
      </c>
      <c r="J45" s="48">
        <v>19</v>
      </c>
      <c r="K45" s="48">
        <v>27</v>
      </c>
      <c r="L45" s="48">
        <v>12.7</v>
      </c>
    </row>
    <row r="46" spans="2:12">
      <c r="B46" s="11"/>
      <c r="C46" s="157" t="s">
        <v>255</v>
      </c>
      <c r="D46" s="48">
        <v>12.7</v>
      </c>
      <c r="E46" s="48">
        <v>18</v>
      </c>
      <c r="F46" s="48">
        <v>8.1999999999999993</v>
      </c>
      <c r="G46" s="48">
        <v>11.9</v>
      </c>
      <c r="H46" s="48">
        <v>17</v>
      </c>
      <c r="I46" s="48">
        <v>7.7</v>
      </c>
      <c r="J46" s="48">
        <v>18.8</v>
      </c>
      <c r="K46" s="48">
        <v>27</v>
      </c>
      <c r="L46" s="48">
        <v>12.3</v>
      </c>
    </row>
    <row r="47" spans="2:12" ht="15.75">
      <c r="B47" s="156"/>
      <c r="C47" s="157" t="s">
        <v>256</v>
      </c>
      <c r="D47" s="48">
        <v>12.3</v>
      </c>
      <c r="E47" s="48">
        <v>17.399999999999999</v>
      </c>
      <c r="F47" s="48">
        <v>7.9</v>
      </c>
      <c r="G47" s="48">
        <v>11.4</v>
      </c>
      <c r="H47" s="48">
        <v>16.3</v>
      </c>
      <c r="I47" s="48">
        <v>7.3</v>
      </c>
      <c r="J47" s="48">
        <v>19.3</v>
      </c>
      <c r="K47" s="48">
        <v>28.1</v>
      </c>
      <c r="L47" s="48">
        <v>12.2</v>
      </c>
    </row>
    <row r="48" spans="2:12" ht="15.75">
      <c r="B48" s="165"/>
      <c r="C48" s="157" t="s">
        <v>257</v>
      </c>
      <c r="D48" s="48">
        <v>11.8</v>
      </c>
      <c r="E48" s="48">
        <v>16.7</v>
      </c>
      <c r="F48" s="48">
        <v>7.6</v>
      </c>
      <c r="G48" s="48">
        <v>11.1</v>
      </c>
      <c r="H48" s="48">
        <v>15.9</v>
      </c>
      <c r="I48" s="48">
        <v>7.2</v>
      </c>
      <c r="J48" s="48">
        <v>17.3</v>
      </c>
      <c r="K48" s="48">
        <v>25.3</v>
      </c>
      <c r="L48" s="48">
        <v>11.1</v>
      </c>
    </row>
    <row r="49" spans="2:12" ht="15.75">
      <c r="B49" s="156" t="s">
        <v>54</v>
      </c>
      <c r="C49" s="157" t="s">
        <v>258</v>
      </c>
      <c r="D49" s="48">
        <v>11.7</v>
      </c>
      <c r="E49" s="48">
        <v>16.8</v>
      </c>
      <c r="F49" s="48">
        <v>7.4</v>
      </c>
      <c r="G49" s="48">
        <v>11</v>
      </c>
      <c r="H49" s="48">
        <v>15.8</v>
      </c>
      <c r="I49" s="48">
        <v>6.8</v>
      </c>
      <c r="J49" s="48">
        <v>17.899999999999999</v>
      </c>
      <c r="K49" s="48">
        <v>26.8</v>
      </c>
      <c r="L49" s="48">
        <v>10.9</v>
      </c>
    </row>
    <row r="50" spans="2:12" ht="15.75">
      <c r="B50" s="165" t="s">
        <v>55</v>
      </c>
      <c r="C50" s="157" t="s">
        <v>259</v>
      </c>
      <c r="D50" s="48">
        <v>11.6</v>
      </c>
      <c r="E50" s="48">
        <v>16.7</v>
      </c>
      <c r="F50" s="48">
        <v>7.3</v>
      </c>
      <c r="G50" s="48">
        <v>10.9</v>
      </c>
      <c r="H50" s="48">
        <v>15.8</v>
      </c>
      <c r="I50" s="48">
        <v>6.8</v>
      </c>
      <c r="J50" s="48">
        <v>17.7</v>
      </c>
      <c r="K50" s="48">
        <v>25.4</v>
      </c>
      <c r="L50" s="48">
        <v>11.5</v>
      </c>
    </row>
    <row r="51" spans="2:12">
      <c r="B51" s="11"/>
      <c r="C51" s="157" t="s">
        <v>260</v>
      </c>
      <c r="D51" s="48">
        <v>11.6</v>
      </c>
      <c r="E51" s="48">
        <v>16.600000000000001</v>
      </c>
      <c r="F51" s="48">
        <v>7.3</v>
      </c>
      <c r="G51" s="48">
        <v>10.9</v>
      </c>
      <c r="H51" s="48">
        <v>15.7</v>
      </c>
      <c r="I51" s="48">
        <v>6.8</v>
      </c>
      <c r="J51" s="48">
        <v>17.100000000000001</v>
      </c>
      <c r="K51" s="48">
        <v>25.4</v>
      </c>
      <c r="L51" s="48">
        <v>10.5</v>
      </c>
    </row>
    <row r="52" spans="2:12">
      <c r="B52" s="11"/>
      <c r="C52" s="157" t="s">
        <v>167</v>
      </c>
      <c r="D52" s="48">
        <v>11.1</v>
      </c>
      <c r="E52" s="48">
        <v>15.9</v>
      </c>
      <c r="F52" s="48">
        <v>7.1</v>
      </c>
      <c r="G52" s="48">
        <v>10.5</v>
      </c>
      <c r="H52" s="48">
        <v>15</v>
      </c>
      <c r="I52" s="48">
        <v>6.6</v>
      </c>
      <c r="J52" s="48">
        <v>16.5</v>
      </c>
      <c r="K52" s="48">
        <v>24.2</v>
      </c>
      <c r="L52" s="48">
        <v>10.6</v>
      </c>
    </row>
    <row r="53" spans="2:12">
      <c r="B53" s="11"/>
      <c r="C53" s="157" t="s">
        <v>168</v>
      </c>
      <c r="D53" s="48">
        <v>10.7</v>
      </c>
      <c r="E53" s="48">
        <v>15.2</v>
      </c>
      <c r="F53" s="48">
        <v>6.9</v>
      </c>
      <c r="G53" s="48">
        <v>10.3</v>
      </c>
      <c r="H53" s="48">
        <v>14.7</v>
      </c>
      <c r="I53" s="48">
        <v>6.5</v>
      </c>
      <c r="J53" s="48">
        <v>14.8</v>
      </c>
      <c r="K53" s="48">
        <v>20.9</v>
      </c>
      <c r="L53" s="48">
        <v>10</v>
      </c>
    </row>
    <row r="54" spans="2:12">
      <c r="B54" s="11"/>
      <c r="C54" s="157">
        <v>1992</v>
      </c>
      <c r="D54" s="48">
        <v>10.5</v>
      </c>
      <c r="E54" s="48">
        <v>15.1</v>
      </c>
      <c r="F54" s="48">
        <v>6.5</v>
      </c>
      <c r="G54" s="48">
        <v>10.1</v>
      </c>
      <c r="H54" s="48">
        <v>14.5</v>
      </c>
      <c r="I54" s="48">
        <v>6.2</v>
      </c>
      <c r="J54" s="48">
        <v>14</v>
      </c>
      <c r="K54" s="48">
        <v>21</v>
      </c>
      <c r="L54" s="48">
        <v>8.5</v>
      </c>
    </row>
    <row r="55" spans="2:12">
      <c r="B55" s="11"/>
      <c r="C55" s="158" t="s">
        <v>170</v>
      </c>
      <c r="D55" s="159">
        <v>10.3</v>
      </c>
      <c r="E55" s="159">
        <v>14.6</v>
      </c>
      <c r="F55" s="159">
        <v>6.6</v>
      </c>
      <c r="G55" s="159">
        <v>10</v>
      </c>
      <c r="H55" s="159">
        <v>14.2</v>
      </c>
      <c r="I55" s="159">
        <v>6.3</v>
      </c>
      <c r="J55" s="159">
        <v>13.2</v>
      </c>
      <c r="K55" s="159">
        <v>19.5</v>
      </c>
      <c r="L55" s="159">
        <v>8.1999999999999993</v>
      </c>
    </row>
    <row r="56" spans="2:12">
      <c r="B56" s="166"/>
      <c r="C56" s="157">
        <v>1994</v>
      </c>
      <c r="D56" s="159">
        <v>10.199999999999999</v>
      </c>
      <c r="E56" s="167">
        <v>14.6</v>
      </c>
      <c r="F56" s="167">
        <v>6.5</v>
      </c>
      <c r="G56" s="167">
        <v>9.9</v>
      </c>
      <c r="H56" s="167">
        <v>14.1</v>
      </c>
      <c r="I56" s="167">
        <v>6.1</v>
      </c>
      <c r="J56" s="167">
        <v>13.1</v>
      </c>
      <c r="K56" s="167">
        <v>19.399999999999999</v>
      </c>
      <c r="L56" s="167">
        <v>8.1999999999999993</v>
      </c>
    </row>
    <row r="57" spans="2:12" s="14" customFormat="1">
      <c r="B57" s="166"/>
      <c r="C57" s="158" t="s">
        <v>56</v>
      </c>
      <c r="D57" s="159">
        <v>10</v>
      </c>
      <c r="E57" s="168">
        <v>14.3</v>
      </c>
      <c r="F57" s="168">
        <v>6.2</v>
      </c>
      <c r="G57" s="168">
        <v>9.6999999999999993</v>
      </c>
      <c r="H57" s="168">
        <v>14</v>
      </c>
      <c r="I57" s="168">
        <v>6</v>
      </c>
      <c r="J57" s="168">
        <v>12.1</v>
      </c>
      <c r="K57" s="168">
        <v>18</v>
      </c>
      <c r="L57" s="168">
        <v>7.6</v>
      </c>
    </row>
    <row r="58" spans="2:12">
      <c r="B58" s="166"/>
      <c r="C58" s="158" t="s">
        <v>57</v>
      </c>
      <c r="D58" s="159">
        <v>9.8000000000000007</v>
      </c>
      <c r="E58" s="168">
        <v>13.9</v>
      </c>
      <c r="F58" s="168">
        <v>6.1</v>
      </c>
      <c r="G58" s="168">
        <v>9.6</v>
      </c>
      <c r="H58" s="168">
        <v>13.6</v>
      </c>
      <c r="I58" s="168">
        <v>6</v>
      </c>
      <c r="J58" s="168">
        <v>11.3</v>
      </c>
      <c r="K58" s="168">
        <v>16.899999999999999</v>
      </c>
      <c r="L58" s="168">
        <v>7</v>
      </c>
    </row>
    <row r="59" spans="2:12">
      <c r="B59" s="166"/>
      <c r="C59" s="158" t="s">
        <v>58</v>
      </c>
      <c r="D59" s="159">
        <v>9.6</v>
      </c>
      <c r="E59" s="168">
        <v>13.6</v>
      </c>
      <c r="F59" s="168">
        <v>6.2</v>
      </c>
      <c r="G59" s="168">
        <v>9.6</v>
      </c>
      <c r="H59" s="168">
        <v>13.5</v>
      </c>
      <c r="I59" s="168">
        <v>6.1</v>
      </c>
      <c r="J59" s="168">
        <v>10.7</v>
      </c>
      <c r="K59" s="168">
        <v>15.7</v>
      </c>
      <c r="L59" s="168">
        <v>6.7</v>
      </c>
    </row>
    <row r="60" spans="2:12">
      <c r="B60" s="166"/>
      <c r="C60" s="158" t="s">
        <v>59</v>
      </c>
      <c r="D60" s="168">
        <v>9.5</v>
      </c>
      <c r="E60" s="168">
        <v>13.4</v>
      </c>
      <c r="F60" s="168">
        <v>6</v>
      </c>
      <c r="G60" s="168">
        <v>9.4</v>
      </c>
      <c r="H60" s="168">
        <v>13.3</v>
      </c>
      <c r="I60" s="168">
        <v>6</v>
      </c>
      <c r="J60" s="168">
        <v>9.9</v>
      </c>
      <c r="K60" s="168">
        <v>15.1</v>
      </c>
      <c r="L60" s="168">
        <v>5.9</v>
      </c>
    </row>
    <row r="61" spans="2:12">
      <c r="B61" s="166"/>
      <c r="C61" s="157">
        <v>1999</v>
      </c>
      <c r="D61" s="127">
        <v>9.6999999999999993</v>
      </c>
      <c r="E61" s="168">
        <v>13.7</v>
      </c>
      <c r="F61" s="168">
        <v>6.1</v>
      </c>
      <c r="G61" s="168">
        <v>9.6999999999999993</v>
      </c>
      <c r="H61" s="168">
        <v>13.7</v>
      </c>
      <c r="I61" s="168">
        <v>6.1</v>
      </c>
      <c r="J61" s="168">
        <v>10.199999999999999</v>
      </c>
      <c r="K61" s="168">
        <v>15.1</v>
      </c>
      <c r="L61" s="168">
        <v>6.4</v>
      </c>
    </row>
    <row r="62" spans="2:12">
      <c r="B62" s="166"/>
      <c r="C62" s="8">
        <v>2000</v>
      </c>
      <c r="D62" s="127">
        <v>9.6</v>
      </c>
      <c r="E62" s="127">
        <v>13.5</v>
      </c>
      <c r="F62" s="127">
        <v>6.2</v>
      </c>
      <c r="G62" s="127">
        <v>9.6999999999999993</v>
      </c>
      <c r="H62" s="127">
        <v>13.6</v>
      </c>
      <c r="I62" s="127">
        <v>6.2</v>
      </c>
      <c r="J62" s="127">
        <v>9.5</v>
      </c>
      <c r="K62" s="127">
        <v>13.7</v>
      </c>
      <c r="L62" s="127">
        <v>6.3</v>
      </c>
    </row>
    <row r="63" spans="2:12">
      <c r="B63" s="166"/>
      <c r="C63" s="8">
        <v>2001</v>
      </c>
      <c r="D63" s="127">
        <v>9.5</v>
      </c>
      <c r="E63" s="127">
        <v>13.2</v>
      </c>
      <c r="F63" s="127">
        <v>6.2</v>
      </c>
      <c r="G63" s="127">
        <v>9.6</v>
      </c>
      <c r="H63" s="127">
        <v>13.3</v>
      </c>
      <c r="I63" s="127">
        <v>6.3</v>
      </c>
      <c r="J63" s="127">
        <v>9.3000000000000007</v>
      </c>
      <c r="K63" s="127">
        <v>13.8</v>
      </c>
      <c r="L63" s="127">
        <v>5.6</v>
      </c>
    </row>
    <row r="64" spans="2:12">
      <c r="B64" s="166"/>
      <c r="C64" s="8">
        <v>2002</v>
      </c>
      <c r="D64" s="127">
        <v>9.4</v>
      </c>
      <c r="E64" s="127">
        <v>12.9</v>
      </c>
      <c r="F64" s="127">
        <v>6.3</v>
      </c>
      <c r="G64" s="127">
        <v>9.6</v>
      </c>
      <c r="H64" s="127">
        <v>13.2</v>
      </c>
      <c r="I64" s="127">
        <v>6.3</v>
      </c>
      <c r="J64" s="127">
        <v>8.5</v>
      </c>
      <c r="K64" s="127">
        <v>12</v>
      </c>
      <c r="L64" s="127">
        <v>5.7</v>
      </c>
    </row>
    <row r="65" spans="2:12">
      <c r="B65" s="166"/>
      <c r="C65" s="8">
        <v>2003</v>
      </c>
      <c r="D65" s="127">
        <v>9.3000000000000007</v>
      </c>
      <c r="E65" s="127">
        <v>13</v>
      </c>
      <c r="F65" s="127">
        <v>6</v>
      </c>
      <c r="G65" s="127">
        <v>9.5</v>
      </c>
      <c r="H65" s="127">
        <v>13.3</v>
      </c>
      <c r="I65" s="127">
        <v>6.1</v>
      </c>
      <c r="J65" s="127">
        <v>8.4</v>
      </c>
      <c r="K65" s="127">
        <v>12.4</v>
      </c>
      <c r="L65" s="127">
        <v>5.2</v>
      </c>
    </row>
    <row r="66" spans="2:12">
      <c r="B66" s="166"/>
      <c r="C66" s="8">
        <v>2004</v>
      </c>
      <c r="D66" s="127">
        <v>9</v>
      </c>
      <c r="E66" s="127">
        <v>12.5</v>
      </c>
      <c r="F66" s="127">
        <v>5.8</v>
      </c>
      <c r="G66" s="127">
        <v>9.1999999999999993</v>
      </c>
      <c r="H66" s="127">
        <v>12.8</v>
      </c>
      <c r="I66" s="127">
        <v>6</v>
      </c>
      <c r="J66" s="127">
        <v>7.9</v>
      </c>
      <c r="K66" s="127">
        <v>11.7</v>
      </c>
      <c r="L66" s="127">
        <v>4.9000000000000004</v>
      </c>
    </row>
    <row r="67" spans="2:12">
      <c r="B67" s="166"/>
      <c r="C67" s="8">
        <v>2005</v>
      </c>
      <c r="D67" s="127">
        <v>9</v>
      </c>
      <c r="E67" s="127">
        <v>12.4</v>
      </c>
      <c r="F67" s="127">
        <v>5.8</v>
      </c>
      <c r="G67" s="127">
        <v>9.1999999999999993</v>
      </c>
      <c r="H67" s="127">
        <v>12.7</v>
      </c>
      <c r="I67" s="127">
        <v>6</v>
      </c>
      <c r="J67" s="127">
        <v>7.7</v>
      </c>
      <c r="K67" s="127">
        <v>11.5</v>
      </c>
      <c r="L67" s="127">
        <v>4.8</v>
      </c>
    </row>
    <row r="68" spans="2:12">
      <c r="B68" s="166"/>
      <c r="C68" s="8">
        <v>2006</v>
      </c>
      <c r="D68" s="127">
        <v>8.8000000000000007</v>
      </c>
      <c r="E68" s="127">
        <v>12.1</v>
      </c>
      <c r="F68" s="127">
        <v>5.8</v>
      </c>
      <c r="G68" s="127">
        <v>9.1</v>
      </c>
      <c r="H68" s="127">
        <v>12.5</v>
      </c>
      <c r="I68" s="127">
        <v>6</v>
      </c>
      <c r="J68" s="127">
        <v>7</v>
      </c>
      <c r="K68" s="127">
        <v>10.199999999999999</v>
      </c>
      <c r="L68" s="127">
        <v>4.4000000000000004</v>
      </c>
    </row>
    <row r="69" spans="2:12">
      <c r="B69" s="166"/>
      <c r="C69" s="8">
        <v>2007</v>
      </c>
      <c r="D69" s="127">
        <v>9.1</v>
      </c>
      <c r="E69" s="127">
        <v>12.7</v>
      </c>
      <c r="F69" s="127">
        <v>5.9</v>
      </c>
      <c r="G69" s="127">
        <v>9.4</v>
      </c>
      <c r="H69" s="127">
        <v>13.1</v>
      </c>
      <c r="I69" s="127">
        <v>6.1</v>
      </c>
      <c r="J69" s="127">
        <v>7.4</v>
      </c>
      <c r="K69" s="127">
        <v>11</v>
      </c>
      <c r="L69" s="127">
        <v>4.5</v>
      </c>
    </row>
    <row r="70" spans="2:12">
      <c r="B70" s="166"/>
      <c r="C70" s="8">
        <v>2008</v>
      </c>
      <c r="D70" s="127">
        <v>9.1999999999999993</v>
      </c>
      <c r="E70" s="127">
        <v>12.7</v>
      </c>
      <c r="F70" s="127">
        <v>6</v>
      </c>
      <c r="G70" s="127">
        <v>9.6</v>
      </c>
      <c r="H70" s="127">
        <v>13.2</v>
      </c>
      <c r="I70" s="127">
        <v>6.2</v>
      </c>
      <c r="J70" s="127">
        <v>7</v>
      </c>
      <c r="K70" s="127">
        <v>10.6</v>
      </c>
      <c r="L70" s="127">
        <v>4.2</v>
      </c>
    </row>
    <row r="71" spans="2:12">
      <c r="B71" s="166"/>
      <c r="C71" s="8">
        <v>2009</v>
      </c>
      <c r="D71" s="127">
        <v>9.1999999999999993</v>
      </c>
      <c r="E71" s="127">
        <v>12.6</v>
      </c>
      <c r="F71" s="127">
        <v>6.1</v>
      </c>
      <c r="G71" s="127">
        <v>9.6</v>
      </c>
      <c r="H71" s="127">
        <v>13.1</v>
      </c>
      <c r="I71" s="127">
        <v>6.3</v>
      </c>
      <c r="J71" s="127">
        <v>7</v>
      </c>
      <c r="K71" s="127">
        <v>10.199999999999999</v>
      </c>
      <c r="L71" s="127">
        <v>4.5</v>
      </c>
    </row>
    <row r="72" spans="2:12">
      <c r="B72" s="166"/>
      <c r="C72" s="8">
        <v>2010</v>
      </c>
      <c r="D72" s="127">
        <v>9.4</v>
      </c>
      <c r="E72" s="127">
        <v>12.9</v>
      </c>
      <c r="F72" s="127">
        <v>6.2</v>
      </c>
      <c r="G72" s="127">
        <v>9.9</v>
      </c>
      <c r="H72" s="127">
        <v>13.6</v>
      </c>
      <c r="I72" s="127">
        <v>6.5</v>
      </c>
      <c r="J72" s="127">
        <v>6.7</v>
      </c>
      <c r="K72" s="127">
        <v>9.8000000000000007</v>
      </c>
      <c r="L72" s="127">
        <v>4.3</v>
      </c>
    </row>
    <row r="73" spans="2:12">
      <c r="B73" s="166"/>
      <c r="C73" s="8">
        <v>2011</v>
      </c>
      <c r="D73" s="127">
        <v>9.6999999999999993</v>
      </c>
      <c r="E73" s="127">
        <v>13.1</v>
      </c>
      <c r="F73" s="127">
        <v>6.6</v>
      </c>
      <c r="G73" s="127">
        <v>10.199999999999999</v>
      </c>
      <c r="H73" s="127">
        <v>13.8</v>
      </c>
      <c r="I73" s="127">
        <v>6.9</v>
      </c>
      <c r="J73" s="127">
        <v>7</v>
      </c>
      <c r="K73" s="127">
        <v>9.8000000000000007</v>
      </c>
      <c r="L73" s="127">
        <v>4.7</v>
      </c>
    </row>
    <row r="74" spans="2:12">
      <c r="B74" s="166"/>
      <c r="C74" s="8">
        <v>2012</v>
      </c>
      <c r="D74" s="127">
        <v>9.9</v>
      </c>
      <c r="E74" s="127">
        <v>13.4</v>
      </c>
      <c r="F74" s="127">
        <v>6.7</v>
      </c>
      <c r="G74" s="127">
        <v>10.5</v>
      </c>
      <c r="H74" s="127">
        <v>14.2</v>
      </c>
      <c r="I74" s="127">
        <v>7.1</v>
      </c>
      <c r="J74" s="127">
        <v>6.9</v>
      </c>
      <c r="K74" s="127">
        <v>9.9</v>
      </c>
      <c r="L74" s="127">
        <v>4.4000000000000004</v>
      </c>
    </row>
    <row r="75" spans="2:12">
      <c r="B75" s="171"/>
      <c r="C75" s="6"/>
      <c r="D75" s="175"/>
      <c r="E75" s="175"/>
      <c r="F75" s="175"/>
      <c r="G75" s="175"/>
      <c r="H75" s="175"/>
      <c r="I75" s="175"/>
      <c r="J75" s="175"/>
      <c r="K75" s="175"/>
      <c r="L75" s="175"/>
    </row>
    <row r="76" spans="2:12" ht="28.5" customHeight="1">
      <c r="B76" s="347" t="s">
        <v>613</v>
      </c>
      <c r="C76" s="348"/>
      <c r="D76" s="348"/>
      <c r="E76" s="348"/>
      <c r="F76" s="348"/>
      <c r="G76" s="348"/>
      <c r="H76" s="348"/>
      <c r="I76" s="348"/>
      <c r="J76" s="348"/>
      <c r="K76" s="348"/>
      <c r="L76" s="348"/>
    </row>
    <row r="77" spans="2:12" ht="57" customHeight="1">
      <c r="B77" s="347" t="s">
        <v>60</v>
      </c>
      <c r="C77" s="348"/>
      <c r="D77" s="348"/>
      <c r="E77" s="348"/>
      <c r="F77" s="348"/>
      <c r="G77" s="348"/>
      <c r="H77" s="348"/>
      <c r="I77" s="348"/>
      <c r="J77" s="348"/>
      <c r="K77" s="348"/>
      <c r="L77" s="348"/>
    </row>
    <row r="78" spans="2:12" ht="84" customHeight="1">
      <c r="B78" s="347" t="s">
        <v>110</v>
      </c>
      <c r="C78" s="348"/>
      <c r="D78" s="348"/>
      <c r="E78" s="348"/>
      <c r="F78" s="348"/>
      <c r="G78" s="348"/>
      <c r="H78" s="348"/>
      <c r="I78" s="348"/>
      <c r="J78" s="348"/>
      <c r="K78" s="348"/>
      <c r="L78" s="348"/>
    </row>
    <row r="79" spans="2:12" ht="32.2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114</v>
      </c>
      <c r="C2" s="4"/>
      <c r="D2" s="4"/>
      <c r="E2" s="4"/>
      <c r="F2" s="4"/>
      <c r="G2" s="4"/>
      <c r="H2" s="4"/>
      <c r="I2" s="4"/>
      <c r="J2" s="4"/>
      <c r="K2" s="4"/>
      <c r="L2" s="4"/>
    </row>
    <row r="3" spans="1:12" ht="15.75">
      <c r="B3" s="5" t="s">
        <v>115</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11.9</v>
      </c>
      <c r="E7" s="174">
        <v>19</v>
      </c>
      <c r="F7" s="191">
        <v>5.6</v>
      </c>
      <c r="G7" s="174">
        <v>12.5</v>
      </c>
      <c r="H7" s="174">
        <v>19.8</v>
      </c>
      <c r="I7" s="191">
        <v>6</v>
      </c>
      <c r="J7" s="174">
        <v>7.8</v>
      </c>
      <c r="K7" s="174">
        <v>13.7</v>
      </c>
      <c r="L7" s="191" t="s">
        <v>292</v>
      </c>
    </row>
    <row r="8" spans="1:12">
      <c r="B8" s="11"/>
      <c r="C8" s="157" t="s">
        <v>252</v>
      </c>
      <c r="D8" s="160">
        <v>12.2</v>
      </c>
      <c r="E8" s="160">
        <v>19.399999999999999</v>
      </c>
      <c r="F8" s="170">
        <v>6.1</v>
      </c>
      <c r="G8" s="160">
        <v>12.9</v>
      </c>
      <c r="H8" s="160">
        <v>20.100000000000001</v>
      </c>
      <c r="I8" s="170">
        <v>6.7</v>
      </c>
      <c r="J8" s="160">
        <v>7.6</v>
      </c>
      <c r="K8" s="160">
        <v>14.2</v>
      </c>
      <c r="L8" s="170" t="s">
        <v>292</v>
      </c>
    </row>
    <row r="9" spans="1:12">
      <c r="B9" s="11"/>
      <c r="C9" s="157" t="s">
        <v>253</v>
      </c>
      <c r="D9" s="160">
        <v>12.6</v>
      </c>
      <c r="E9" s="160">
        <v>20.3</v>
      </c>
      <c r="F9" s="170">
        <v>6</v>
      </c>
      <c r="G9" s="160">
        <v>13.4</v>
      </c>
      <c r="H9" s="160">
        <v>21.3</v>
      </c>
      <c r="I9" s="170">
        <v>6.4</v>
      </c>
      <c r="J9" s="160">
        <v>7.4</v>
      </c>
      <c r="K9" s="160">
        <v>13.5</v>
      </c>
      <c r="L9" s="170" t="s">
        <v>292</v>
      </c>
    </row>
    <row r="10" spans="1:12">
      <c r="B10" s="11"/>
      <c r="C10" s="157" t="s">
        <v>254</v>
      </c>
      <c r="D10" s="160">
        <v>12.5</v>
      </c>
      <c r="E10" s="160">
        <v>20.399999999999999</v>
      </c>
      <c r="F10" s="170">
        <v>5.6</v>
      </c>
      <c r="G10" s="160">
        <v>12.9</v>
      </c>
      <c r="H10" s="160">
        <v>20.8</v>
      </c>
      <c r="I10" s="170">
        <v>6.1</v>
      </c>
      <c r="J10" s="160">
        <v>9.5</v>
      </c>
      <c r="K10" s="160">
        <v>18.100000000000001</v>
      </c>
      <c r="L10" s="170" t="s">
        <v>292</v>
      </c>
    </row>
    <row r="11" spans="1:12">
      <c r="B11" s="11"/>
      <c r="C11" s="157" t="s">
        <v>255</v>
      </c>
      <c r="D11" s="160">
        <v>13</v>
      </c>
      <c r="E11" s="160">
        <v>21</v>
      </c>
      <c r="F11" s="160">
        <v>6.2</v>
      </c>
      <c r="G11" s="160">
        <v>13.7</v>
      </c>
      <c r="H11" s="160">
        <v>22</v>
      </c>
      <c r="I11" s="160">
        <v>6.5</v>
      </c>
      <c r="J11" s="160">
        <v>8.3000000000000007</v>
      </c>
      <c r="K11" s="160">
        <v>13.6</v>
      </c>
      <c r="L11" s="160">
        <v>4.0999999999999996</v>
      </c>
    </row>
    <row r="12" spans="1:12" ht="15.75">
      <c r="B12" s="156"/>
      <c r="C12" s="157" t="s">
        <v>256</v>
      </c>
      <c r="D12" s="160">
        <v>12.4</v>
      </c>
      <c r="E12" s="160">
        <v>21.7</v>
      </c>
      <c r="F12" s="170">
        <v>4.4000000000000004</v>
      </c>
      <c r="G12" s="160">
        <v>12.9</v>
      </c>
      <c r="H12" s="160">
        <v>22.3</v>
      </c>
      <c r="I12" s="170">
        <v>4.8</v>
      </c>
      <c r="J12" s="160">
        <v>9.1999999999999993</v>
      </c>
      <c r="K12" s="160">
        <v>18</v>
      </c>
      <c r="L12" s="170" t="s">
        <v>292</v>
      </c>
    </row>
    <row r="13" spans="1:12">
      <c r="B13" s="11"/>
      <c r="C13" s="157" t="s">
        <v>257</v>
      </c>
      <c r="D13" s="160">
        <v>12.5</v>
      </c>
      <c r="E13" s="160">
        <v>20.6</v>
      </c>
      <c r="F13" s="160">
        <v>5.8</v>
      </c>
      <c r="G13" s="160">
        <v>13</v>
      </c>
      <c r="H13" s="160">
        <v>21.4</v>
      </c>
      <c r="I13" s="160">
        <v>6</v>
      </c>
      <c r="J13" s="160">
        <v>9.5</v>
      </c>
      <c r="K13" s="160">
        <v>16.2</v>
      </c>
      <c r="L13" s="160">
        <v>4.2</v>
      </c>
    </row>
    <row r="14" spans="1:12">
      <c r="B14" s="11"/>
      <c r="C14" s="157" t="s">
        <v>258</v>
      </c>
      <c r="D14" s="160">
        <v>11.9</v>
      </c>
      <c r="E14" s="160">
        <v>19.8</v>
      </c>
      <c r="F14" s="160">
        <v>5.0999999999999996</v>
      </c>
      <c r="G14" s="160">
        <v>12.4</v>
      </c>
      <c r="H14" s="160">
        <v>20.3</v>
      </c>
      <c r="I14" s="160">
        <v>5.5</v>
      </c>
      <c r="J14" s="160">
        <v>9.1</v>
      </c>
      <c r="K14" s="160">
        <v>16.399999999999999</v>
      </c>
      <c r="L14" s="160">
        <v>3</v>
      </c>
    </row>
    <row r="15" spans="1:12" ht="15.75">
      <c r="B15" s="156" t="s">
        <v>52</v>
      </c>
      <c r="C15" s="157" t="s">
        <v>259</v>
      </c>
      <c r="D15" s="160">
        <v>12</v>
      </c>
      <c r="E15" s="160">
        <v>20.3</v>
      </c>
      <c r="F15" s="170">
        <v>4.9000000000000004</v>
      </c>
      <c r="G15" s="160">
        <v>12.5</v>
      </c>
      <c r="H15" s="160">
        <v>21.1</v>
      </c>
      <c r="I15" s="170">
        <v>5.0999999999999996</v>
      </c>
      <c r="J15" s="160">
        <v>8.5</v>
      </c>
      <c r="K15" s="160">
        <v>15.2</v>
      </c>
      <c r="L15" s="170" t="s">
        <v>292</v>
      </c>
    </row>
    <row r="16" spans="1:12">
      <c r="B16" s="11"/>
      <c r="C16" s="157" t="s">
        <v>260</v>
      </c>
      <c r="D16" s="160">
        <v>11.3</v>
      </c>
      <c r="E16" s="160">
        <v>20</v>
      </c>
      <c r="F16" s="160">
        <v>4</v>
      </c>
      <c r="G16" s="160">
        <v>11.9</v>
      </c>
      <c r="H16" s="160">
        <v>20.8</v>
      </c>
      <c r="I16" s="160">
        <v>4.2</v>
      </c>
      <c r="J16" s="160">
        <v>7.9</v>
      </c>
      <c r="K16" s="160">
        <v>14.1</v>
      </c>
      <c r="L16" s="160">
        <v>2.9</v>
      </c>
    </row>
    <row r="17" spans="2:12">
      <c r="B17" s="11"/>
      <c r="C17" s="157" t="s">
        <v>167</v>
      </c>
      <c r="D17" s="160">
        <v>11.7</v>
      </c>
      <c r="E17" s="160">
        <v>20.5</v>
      </c>
      <c r="F17" s="170">
        <v>4.3</v>
      </c>
      <c r="G17" s="160">
        <v>12.2</v>
      </c>
      <c r="H17" s="160">
        <v>21.2</v>
      </c>
      <c r="I17" s="170">
        <v>4.5</v>
      </c>
      <c r="J17" s="160">
        <v>8.1999999999999993</v>
      </c>
      <c r="K17" s="160">
        <v>14.9</v>
      </c>
      <c r="L17" s="170" t="s">
        <v>292</v>
      </c>
    </row>
    <row r="18" spans="2:12">
      <c r="B18" s="11"/>
      <c r="C18" s="157" t="s">
        <v>168</v>
      </c>
      <c r="D18" s="160">
        <v>12.4</v>
      </c>
      <c r="E18" s="160">
        <v>21.8</v>
      </c>
      <c r="F18" s="170">
        <v>4.5999999999999996</v>
      </c>
      <c r="G18" s="160">
        <v>12.9</v>
      </c>
      <c r="H18" s="160">
        <v>22.4</v>
      </c>
      <c r="I18" s="170">
        <v>4.8</v>
      </c>
      <c r="J18" s="160">
        <v>9.6</v>
      </c>
      <c r="K18" s="160">
        <v>17.7</v>
      </c>
      <c r="L18" s="170" t="s">
        <v>292</v>
      </c>
    </row>
    <row r="19" spans="2:12">
      <c r="B19" s="11"/>
      <c r="C19" s="157" t="s">
        <v>169</v>
      </c>
      <c r="D19" s="160">
        <v>11.3</v>
      </c>
      <c r="E19" s="160">
        <v>19.600000000000001</v>
      </c>
      <c r="F19" s="170">
        <v>4.2</v>
      </c>
      <c r="G19" s="160">
        <v>11.9</v>
      </c>
      <c r="H19" s="160">
        <v>20.3</v>
      </c>
      <c r="I19" s="170">
        <v>4.5</v>
      </c>
      <c r="J19" s="160">
        <v>7.8</v>
      </c>
      <c r="K19" s="160">
        <v>14.3</v>
      </c>
      <c r="L19" s="170" t="s">
        <v>292</v>
      </c>
    </row>
    <row r="20" spans="2:12">
      <c r="B20" s="11"/>
      <c r="C20" s="157" t="s">
        <v>170</v>
      </c>
      <c r="D20" s="160">
        <v>11.4</v>
      </c>
      <c r="E20" s="160">
        <v>20.2</v>
      </c>
      <c r="F20" s="170">
        <v>3.7</v>
      </c>
      <c r="G20" s="160">
        <v>11.8</v>
      </c>
      <c r="H20" s="160">
        <v>20.6</v>
      </c>
      <c r="I20" s="170">
        <v>4</v>
      </c>
      <c r="J20" s="160">
        <v>8.4</v>
      </c>
      <c r="K20" s="160">
        <v>16.399999999999999</v>
      </c>
      <c r="L20" s="170" t="s">
        <v>292</v>
      </c>
    </row>
    <row r="21" spans="2:12">
      <c r="B21" s="11"/>
      <c r="C21" s="157">
        <v>1994</v>
      </c>
      <c r="D21" s="160">
        <v>10.7</v>
      </c>
      <c r="E21" s="160">
        <v>19</v>
      </c>
      <c r="F21" s="170">
        <v>3.5</v>
      </c>
      <c r="G21" s="160">
        <v>11.1</v>
      </c>
      <c r="H21" s="160">
        <v>19.600000000000001</v>
      </c>
      <c r="I21" s="170">
        <v>3.7</v>
      </c>
      <c r="J21" s="160">
        <v>8.1999999999999993</v>
      </c>
      <c r="K21" s="160">
        <v>15.2</v>
      </c>
      <c r="L21" s="170" t="s">
        <v>292</v>
      </c>
    </row>
    <row r="22" spans="2:12" s="14" customFormat="1">
      <c r="B22" s="11"/>
      <c r="C22" s="157">
        <v>1995</v>
      </c>
      <c r="D22" s="160">
        <v>10.1</v>
      </c>
      <c r="E22" s="160">
        <v>17.600000000000001</v>
      </c>
      <c r="F22" s="160">
        <v>3.5</v>
      </c>
      <c r="G22" s="160">
        <v>10.3</v>
      </c>
      <c r="H22" s="160">
        <v>18.100000000000001</v>
      </c>
      <c r="I22" s="160">
        <v>3.5</v>
      </c>
      <c r="J22" s="160">
        <v>8.1</v>
      </c>
      <c r="K22" s="160">
        <v>14.4</v>
      </c>
      <c r="L22" s="160">
        <v>2.8</v>
      </c>
    </row>
    <row r="23" spans="2:12">
      <c r="B23" s="11"/>
      <c r="C23" s="157">
        <v>1996</v>
      </c>
      <c r="D23" s="160">
        <v>11.4</v>
      </c>
      <c r="E23" s="160">
        <v>20</v>
      </c>
      <c r="F23" s="160">
        <v>3.9</v>
      </c>
      <c r="G23" s="160">
        <v>11.9</v>
      </c>
      <c r="H23" s="160">
        <v>20.6</v>
      </c>
      <c r="I23" s="160">
        <v>4.0999999999999996</v>
      </c>
      <c r="J23" s="160">
        <v>8.5</v>
      </c>
      <c r="K23" s="160">
        <v>15</v>
      </c>
      <c r="L23" s="160">
        <v>2.9</v>
      </c>
    </row>
    <row r="24" spans="2:12">
      <c r="B24" s="11"/>
      <c r="C24" s="157">
        <v>1997</v>
      </c>
      <c r="D24" s="160">
        <v>10.3</v>
      </c>
      <c r="E24" s="160">
        <v>17.899999999999999</v>
      </c>
      <c r="F24" s="170">
        <v>3.5</v>
      </c>
      <c r="G24" s="160">
        <v>10.9</v>
      </c>
      <c r="H24" s="160">
        <v>18.8</v>
      </c>
      <c r="I24" s="170">
        <v>3.9</v>
      </c>
      <c r="J24" s="160">
        <v>6.3</v>
      </c>
      <c r="K24" s="160">
        <v>11.7</v>
      </c>
      <c r="L24" s="170" t="s">
        <v>292</v>
      </c>
    </row>
    <row r="25" spans="2:12">
      <c r="B25" s="11"/>
      <c r="C25" s="157">
        <v>1998</v>
      </c>
      <c r="D25" s="160">
        <v>9.8000000000000007</v>
      </c>
      <c r="E25" s="160">
        <v>17.5</v>
      </c>
      <c r="F25" s="170">
        <v>3.2</v>
      </c>
      <c r="G25" s="160">
        <v>10.5</v>
      </c>
      <c r="H25" s="160">
        <v>18.600000000000001</v>
      </c>
      <c r="I25" s="170">
        <v>3.3</v>
      </c>
      <c r="J25" s="160">
        <v>6</v>
      </c>
      <c r="K25" s="160">
        <v>10.8</v>
      </c>
      <c r="L25" s="170" t="s">
        <v>292</v>
      </c>
    </row>
    <row r="26" spans="2:12">
      <c r="B26" s="11"/>
      <c r="C26" s="157">
        <v>1999</v>
      </c>
      <c r="D26" s="160">
        <v>9.8000000000000007</v>
      </c>
      <c r="E26" s="160">
        <v>16.8</v>
      </c>
      <c r="F26" s="170">
        <v>3.6</v>
      </c>
      <c r="G26" s="160">
        <v>10.4</v>
      </c>
      <c r="H26" s="160">
        <v>17.600000000000001</v>
      </c>
      <c r="I26" s="170">
        <v>3.8</v>
      </c>
      <c r="J26" s="160">
        <v>6.9</v>
      </c>
      <c r="K26" s="160">
        <v>12.3</v>
      </c>
      <c r="L26" s="170" t="s">
        <v>292</v>
      </c>
    </row>
    <row r="27" spans="2:12">
      <c r="B27" s="11"/>
      <c r="C27" s="157">
        <v>2000</v>
      </c>
      <c r="D27" s="160">
        <v>9.8000000000000007</v>
      </c>
      <c r="E27" s="160">
        <v>16.7</v>
      </c>
      <c r="F27" s="170">
        <v>3.7</v>
      </c>
      <c r="G27" s="160">
        <v>10.4</v>
      </c>
      <c r="H27" s="160">
        <v>17.600000000000001</v>
      </c>
      <c r="I27" s="170">
        <v>4</v>
      </c>
      <c r="J27" s="160">
        <v>6</v>
      </c>
      <c r="K27" s="160">
        <v>11.1</v>
      </c>
      <c r="L27" s="170" t="s">
        <v>292</v>
      </c>
    </row>
    <row r="28" spans="2:12">
      <c r="B28" s="11"/>
      <c r="C28" s="8">
        <v>2001</v>
      </c>
      <c r="D28" s="160">
        <v>10.5</v>
      </c>
      <c r="E28" s="160">
        <v>17.7</v>
      </c>
      <c r="F28" s="170">
        <v>3.9</v>
      </c>
      <c r="G28" s="160">
        <v>11.2</v>
      </c>
      <c r="H28" s="160">
        <v>18.8</v>
      </c>
      <c r="I28" s="170">
        <v>4.0999999999999996</v>
      </c>
      <c r="J28" s="160">
        <v>6.7</v>
      </c>
      <c r="K28" s="160">
        <v>11.6</v>
      </c>
      <c r="L28" s="170">
        <v>2.7</v>
      </c>
    </row>
    <row r="29" spans="2:12">
      <c r="B29" s="11"/>
      <c r="C29" s="157">
        <v>2002</v>
      </c>
      <c r="D29" s="159">
        <v>11</v>
      </c>
      <c r="E29" s="159">
        <v>18.7</v>
      </c>
      <c r="F29" s="169">
        <v>4</v>
      </c>
      <c r="G29" s="159">
        <v>11.7</v>
      </c>
      <c r="H29" s="159">
        <v>19.899999999999999</v>
      </c>
      <c r="I29" s="169">
        <v>4.4000000000000004</v>
      </c>
      <c r="J29" s="159">
        <v>6.3</v>
      </c>
      <c r="K29" s="159">
        <v>10.9</v>
      </c>
      <c r="L29" s="170" t="s">
        <v>292</v>
      </c>
    </row>
    <row r="30" spans="2:12">
      <c r="B30" s="11"/>
      <c r="C30" s="157">
        <v>2003</v>
      </c>
      <c r="D30" s="159">
        <v>10.1</v>
      </c>
      <c r="E30" s="159">
        <v>16.8</v>
      </c>
      <c r="F30" s="169">
        <v>4</v>
      </c>
      <c r="G30" s="159">
        <v>10.9</v>
      </c>
      <c r="H30" s="159">
        <v>17.899999999999999</v>
      </c>
      <c r="I30" s="169">
        <v>4.3</v>
      </c>
      <c r="J30" s="159">
        <v>6.4</v>
      </c>
      <c r="K30" s="159">
        <v>11.5</v>
      </c>
      <c r="L30" s="169" t="s">
        <v>292</v>
      </c>
    </row>
    <row r="31" spans="2:12">
      <c r="B31" s="11"/>
      <c r="C31" s="157">
        <v>2004</v>
      </c>
      <c r="D31" s="159">
        <v>10.9</v>
      </c>
      <c r="E31" s="159">
        <v>18</v>
      </c>
      <c r="F31" s="169">
        <v>4.3</v>
      </c>
      <c r="G31" s="159">
        <v>11.7</v>
      </c>
      <c r="H31" s="159">
        <v>19.399999999999999</v>
      </c>
      <c r="I31" s="169">
        <v>4.5</v>
      </c>
      <c r="J31" s="159">
        <v>4.5999999999999996</v>
      </c>
      <c r="K31" s="159">
        <v>7.6</v>
      </c>
      <c r="L31" s="169" t="s">
        <v>292</v>
      </c>
    </row>
    <row r="32" spans="2:12">
      <c r="B32" s="11"/>
      <c r="C32" s="157">
        <v>2005</v>
      </c>
      <c r="D32" s="159">
        <v>10.9</v>
      </c>
      <c r="E32" s="159">
        <v>18</v>
      </c>
      <c r="F32" s="169">
        <v>4.5</v>
      </c>
      <c r="G32" s="159">
        <v>11.9</v>
      </c>
      <c r="H32" s="159">
        <v>19.3</v>
      </c>
      <c r="I32" s="169">
        <v>5.0999999999999996</v>
      </c>
      <c r="J32" s="159">
        <v>5.9</v>
      </c>
      <c r="K32" s="159">
        <v>10.9</v>
      </c>
      <c r="L32" s="192" t="s">
        <v>292</v>
      </c>
    </row>
    <row r="33" spans="2:12">
      <c r="B33" s="11"/>
      <c r="C33" s="157">
        <v>2006</v>
      </c>
      <c r="D33" s="159">
        <v>11.1</v>
      </c>
      <c r="E33" s="159">
        <v>18.899999999999999</v>
      </c>
      <c r="F33" s="169">
        <v>3.9</v>
      </c>
      <c r="G33" s="159">
        <v>11.8</v>
      </c>
      <c r="H33" s="159">
        <v>19.7</v>
      </c>
      <c r="I33" s="169">
        <v>4.3</v>
      </c>
      <c r="J33" s="159">
        <v>6.5</v>
      </c>
      <c r="K33" s="159">
        <v>13.1</v>
      </c>
      <c r="L33" s="192" t="s">
        <v>292</v>
      </c>
    </row>
    <row r="34" spans="2:12">
      <c r="B34" s="11"/>
      <c r="C34" s="157">
        <v>2007</v>
      </c>
      <c r="D34" s="159">
        <v>11</v>
      </c>
      <c r="E34" s="159">
        <v>18.3</v>
      </c>
      <c r="F34" s="169">
        <v>4.3</v>
      </c>
      <c r="G34" s="159">
        <v>12.1</v>
      </c>
      <c r="H34" s="159">
        <v>20</v>
      </c>
      <c r="I34" s="169">
        <v>4.7</v>
      </c>
      <c r="J34" s="159">
        <v>5.3</v>
      </c>
      <c r="K34" s="159">
        <v>9.4</v>
      </c>
      <c r="L34" s="192" t="s">
        <v>292</v>
      </c>
    </row>
    <row r="35" spans="2:12">
      <c r="B35" s="11"/>
      <c r="C35" s="157">
        <v>2008</v>
      </c>
      <c r="D35" s="159">
        <v>11.7</v>
      </c>
      <c r="E35" s="159">
        <v>19.600000000000001</v>
      </c>
      <c r="F35" s="169">
        <v>4.3</v>
      </c>
      <c r="G35" s="159">
        <v>12.6</v>
      </c>
      <c r="H35" s="159">
        <v>20.9</v>
      </c>
      <c r="I35" s="169">
        <v>4.5999999999999996</v>
      </c>
      <c r="J35" s="159">
        <v>7.1</v>
      </c>
      <c r="K35" s="159">
        <v>12.2</v>
      </c>
      <c r="L35" s="192">
        <v>2.8</v>
      </c>
    </row>
    <row r="36" spans="2:12">
      <c r="B36" s="11"/>
      <c r="C36" s="157">
        <v>2009</v>
      </c>
      <c r="D36" s="159">
        <v>11.4</v>
      </c>
      <c r="E36" s="159">
        <v>18.8</v>
      </c>
      <c r="F36" s="169">
        <v>4.7</v>
      </c>
      <c r="G36" s="159">
        <v>12.4</v>
      </c>
      <c r="H36" s="159">
        <v>20.3</v>
      </c>
      <c r="I36" s="169">
        <v>5</v>
      </c>
      <c r="J36" s="159">
        <v>6.3</v>
      </c>
      <c r="K36" s="159">
        <v>10.199999999999999</v>
      </c>
      <c r="L36" s="192">
        <v>3.2</v>
      </c>
    </row>
    <row r="37" spans="2:12">
      <c r="B37" s="11"/>
      <c r="C37" s="157">
        <v>2010</v>
      </c>
      <c r="D37" s="159">
        <v>12.5</v>
      </c>
      <c r="E37" s="159">
        <v>20.3</v>
      </c>
      <c r="F37" s="169">
        <v>5.3</v>
      </c>
      <c r="G37" s="159">
        <v>13.5</v>
      </c>
      <c r="H37" s="159">
        <v>21.7</v>
      </c>
      <c r="I37" s="169">
        <v>5.6</v>
      </c>
      <c r="J37" s="159">
        <v>7.3</v>
      </c>
      <c r="K37" s="159">
        <v>11.3</v>
      </c>
      <c r="L37" s="192">
        <v>3.8</v>
      </c>
    </row>
    <row r="38" spans="2:12">
      <c r="B38" s="11"/>
      <c r="C38" s="157">
        <v>2011</v>
      </c>
      <c r="D38" s="159">
        <v>12.2</v>
      </c>
      <c r="E38" s="159">
        <v>20.2</v>
      </c>
      <c r="F38" s="169">
        <v>4.5999999999999996</v>
      </c>
      <c r="G38" s="159">
        <v>13.1</v>
      </c>
      <c r="H38" s="159">
        <v>21.7</v>
      </c>
      <c r="I38" s="169">
        <v>5</v>
      </c>
      <c r="J38" s="159">
        <v>6.9</v>
      </c>
      <c r="K38" s="159">
        <v>11.4</v>
      </c>
      <c r="L38" s="192">
        <v>2.9</v>
      </c>
    </row>
    <row r="39" spans="2:12">
      <c r="B39" s="11"/>
      <c r="C39" s="157">
        <v>2012</v>
      </c>
      <c r="D39" s="159">
        <v>12.4</v>
      </c>
      <c r="E39" s="159">
        <v>20.5</v>
      </c>
      <c r="F39" s="169">
        <v>4.9000000000000004</v>
      </c>
      <c r="G39" s="159">
        <v>13.4</v>
      </c>
      <c r="H39" s="159">
        <v>22.2</v>
      </c>
      <c r="I39" s="169">
        <v>5.0999999999999996</v>
      </c>
      <c r="J39" s="159">
        <v>7</v>
      </c>
      <c r="K39" s="159">
        <v>11.2</v>
      </c>
      <c r="L39" s="192">
        <v>3.3</v>
      </c>
    </row>
    <row r="40" spans="2:12">
      <c r="B40" s="11"/>
      <c r="C40" s="157">
        <v>2013</v>
      </c>
      <c r="D40" s="159">
        <v>12.9</v>
      </c>
      <c r="E40" s="159">
        <v>20.7</v>
      </c>
      <c r="F40" s="169">
        <v>5.6</v>
      </c>
      <c r="G40" s="159">
        <v>13.8</v>
      </c>
      <c r="H40" s="159">
        <v>22.2</v>
      </c>
      <c r="I40" s="169">
        <v>5.9</v>
      </c>
      <c r="J40" s="159">
        <v>7.2</v>
      </c>
      <c r="K40" s="159">
        <v>12.4</v>
      </c>
      <c r="L40" s="192">
        <v>2.8</v>
      </c>
    </row>
    <row r="41" spans="2:12">
      <c r="B41" s="11"/>
      <c r="C41" s="157"/>
      <c r="D41" s="159"/>
      <c r="E41" s="159"/>
      <c r="F41" s="169"/>
      <c r="G41" s="159"/>
      <c r="H41" s="159"/>
      <c r="I41" s="169"/>
      <c r="J41" s="159"/>
      <c r="K41" s="159"/>
      <c r="L41" s="192"/>
    </row>
    <row r="42" spans="2:12">
      <c r="B42" s="64"/>
      <c r="C42" s="163" t="s">
        <v>166</v>
      </c>
      <c r="D42" s="164">
        <v>12.2</v>
      </c>
      <c r="E42" s="164">
        <v>19.899999999999999</v>
      </c>
      <c r="F42" s="164">
        <v>5.7</v>
      </c>
      <c r="G42" s="164">
        <v>13</v>
      </c>
      <c r="H42" s="164">
        <v>20.9</v>
      </c>
      <c r="I42" s="164">
        <v>6.1</v>
      </c>
      <c r="J42" s="164">
        <v>6.5</v>
      </c>
      <c r="K42" s="164">
        <v>11.4</v>
      </c>
      <c r="L42" s="164">
        <v>2.4</v>
      </c>
    </row>
    <row r="43" spans="2:12">
      <c r="B43" s="11"/>
      <c r="C43" s="157" t="s">
        <v>252</v>
      </c>
      <c r="D43" s="48">
        <v>12.3</v>
      </c>
      <c r="E43" s="48">
        <v>19.8</v>
      </c>
      <c r="F43" s="48">
        <v>6</v>
      </c>
      <c r="G43" s="48">
        <v>13.1</v>
      </c>
      <c r="H43" s="48">
        <v>20.9</v>
      </c>
      <c r="I43" s="48">
        <v>6.4</v>
      </c>
      <c r="J43" s="48">
        <v>6.5</v>
      </c>
      <c r="K43" s="48">
        <v>11.4</v>
      </c>
      <c r="L43" s="48">
        <v>2.5</v>
      </c>
    </row>
    <row r="44" spans="2:12">
      <c r="B44" s="11"/>
      <c r="C44" s="157" t="s">
        <v>253</v>
      </c>
      <c r="D44" s="48">
        <v>12.5</v>
      </c>
      <c r="E44" s="48">
        <v>20.399999999999999</v>
      </c>
      <c r="F44" s="48">
        <v>5.8</v>
      </c>
      <c r="G44" s="48">
        <v>13.3</v>
      </c>
      <c r="H44" s="48">
        <v>21.6</v>
      </c>
      <c r="I44" s="48">
        <v>6.2</v>
      </c>
      <c r="J44" s="48">
        <v>6.3</v>
      </c>
      <c r="K44" s="48">
        <v>11.2</v>
      </c>
      <c r="L44" s="48">
        <v>2.2999999999999998</v>
      </c>
    </row>
    <row r="45" spans="2:12">
      <c r="B45" s="11"/>
      <c r="C45" s="157" t="s">
        <v>254</v>
      </c>
      <c r="D45" s="48">
        <v>12.4</v>
      </c>
      <c r="E45" s="48">
        <v>20.399999999999999</v>
      </c>
      <c r="F45" s="48">
        <v>5.5</v>
      </c>
      <c r="G45" s="48">
        <v>13.2</v>
      </c>
      <c r="H45" s="48">
        <v>21.6</v>
      </c>
      <c r="I45" s="48">
        <v>6</v>
      </c>
      <c r="J45" s="48">
        <v>6.2</v>
      </c>
      <c r="K45" s="48">
        <v>11.1</v>
      </c>
      <c r="L45" s="48">
        <v>2.2000000000000002</v>
      </c>
    </row>
    <row r="46" spans="2:12">
      <c r="B46" s="11"/>
      <c r="C46" s="157" t="s">
        <v>255</v>
      </c>
      <c r="D46" s="48">
        <v>12.6</v>
      </c>
      <c r="E46" s="48">
        <v>20.9</v>
      </c>
      <c r="F46" s="48">
        <v>5.6</v>
      </c>
      <c r="G46" s="48">
        <v>13.5</v>
      </c>
      <c r="H46" s="48">
        <v>22.1</v>
      </c>
      <c r="I46" s="48">
        <v>6</v>
      </c>
      <c r="J46" s="48">
        <v>6.6</v>
      </c>
      <c r="K46" s="48">
        <v>11.7</v>
      </c>
      <c r="L46" s="48">
        <v>2.2999999999999998</v>
      </c>
    </row>
    <row r="47" spans="2:12" ht="15.75">
      <c r="B47" s="156"/>
      <c r="C47" s="157" t="s">
        <v>256</v>
      </c>
      <c r="D47" s="48">
        <v>12.5</v>
      </c>
      <c r="E47" s="48">
        <v>21.1</v>
      </c>
      <c r="F47" s="48">
        <v>5.2</v>
      </c>
      <c r="G47" s="48">
        <v>13.4</v>
      </c>
      <c r="H47" s="48">
        <v>22.4</v>
      </c>
      <c r="I47" s="48">
        <v>5.7</v>
      </c>
      <c r="J47" s="48">
        <v>6.6</v>
      </c>
      <c r="K47" s="48">
        <v>11.8</v>
      </c>
      <c r="L47" s="48">
        <v>2.2999999999999998</v>
      </c>
    </row>
    <row r="48" spans="2:12" ht="15.75">
      <c r="B48" s="165"/>
      <c r="C48" s="157" t="s">
        <v>257</v>
      </c>
      <c r="D48" s="48">
        <v>13</v>
      </c>
      <c r="E48" s="48">
        <v>21.9</v>
      </c>
      <c r="F48" s="48">
        <v>5.5</v>
      </c>
      <c r="G48" s="48">
        <v>13.9</v>
      </c>
      <c r="H48" s="48">
        <v>23.2</v>
      </c>
      <c r="I48" s="48">
        <v>6</v>
      </c>
      <c r="J48" s="48">
        <v>6.8</v>
      </c>
      <c r="K48" s="48">
        <v>12.2</v>
      </c>
      <c r="L48" s="48">
        <v>2.4</v>
      </c>
    </row>
    <row r="49" spans="2:12" ht="15.75">
      <c r="B49" s="156" t="s">
        <v>54</v>
      </c>
      <c r="C49" s="157" t="s">
        <v>258</v>
      </c>
      <c r="D49" s="48">
        <v>12.8</v>
      </c>
      <c r="E49" s="48">
        <v>21.7</v>
      </c>
      <c r="F49" s="48">
        <v>5.3</v>
      </c>
      <c r="G49" s="48">
        <v>13.7</v>
      </c>
      <c r="H49" s="48">
        <v>23</v>
      </c>
      <c r="I49" s="48">
        <v>5.7</v>
      </c>
      <c r="J49" s="48">
        <v>6.9</v>
      </c>
      <c r="K49" s="48">
        <v>12.8</v>
      </c>
      <c r="L49" s="48">
        <v>2.1</v>
      </c>
    </row>
    <row r="50" spans="2:12" ht="15.75">
      <c r="B50" s="165" t="s">
        <v>55</v>
      </c>
      <c r="C50" s="157" t="s">
        <v>259</v>
      </c>
      <c r="D50" s="48">
        <v>12.5</v>
      </c>
      <c r="E50" s="48">
        <v>21.2</v>
      </c>
      <c r="F50" s="48">
        <v>5.0999999999999996</v>
      </c>
      <c r="G50" s="48">
        <v>13.3</v>
      </c>
      <c r="H50" s="48">
        <v>22.5</v>
      </c>
      <c r="I50" s="48">
        <v>5.5</v>
      </c>
      <c r="J50" s="48">
        <v>6.9</v>
      </c>
      <c r="K50" s="48">
        <v>12.2</v>
      </c>
      <c r="L50" s="48">
        <v>2.5</v>
      </c>
    </row>
    <row r="51" spans="2:12">
      <c r="B51" s="11"/>
      <c r="C51" s="157" t="s">
        <v>260</v>
      </c>
      <c r="D51" s="48">
        <v>12.3</v>
      </c>
      <c r="E51" s="48">
        <v>21</v>
      </c>
      <c r="F51" s="48">
        <v>4.9000000000000004</v>
      </c>
      <c r="G51" s="48">
        <v>13.1</v>
      </c>
      <c r="H51" s="48">
        <v>22.3</v>
      </c>
      <c r="I51" s="48">
        <v>5.2</v>
      </c>
      <c r="J51" s="48">
        <v>7.2</v>
      </c>
      <c r="K51" s="48">
        <v>13</v>
      </c>
      <c r="L51" s="48">
        <v>2.5</v>
      </c>
    </row>
    <row r="52" spans="2:12">
      <c r="B52" s="11"/>
      <c r="C52" s="157" t="s">
        <v>167</v>
      </c>
      <c r="D52" s="48">
        <v>12.5</v>
      </c>
      <c r="E52" s="48">
        <v>21.5</v>
      </c>
      <c r="F52" s="48">
        <v>4.8</v>
      </c>
      <c r="G52" s="48">
        <v>13.4</v>
      </c>
      <c r="H52" s="48">
        <v>22.8</v>
      </c>
      <c r="I52" s="48">
        <v>5.2</v>
      </c>
      <c r="J52" s="48">
        <v>7.1</v>
      </c>
      <c r="K52" s="48">
        <v>12.8</v>
      </c>
      <c r="L52" s="48">
        <v>2.4</v>
      </c>
    </row>
    <row r="53" spans="2:12">
      <c r="B53" s="11"/>
      <c r="C53" s="157" t="s">
        <v>168</v>
      </c>
      <c r="D53" s="48">
        <v>12.3</v>
      </c>
      <c r="E53" s="48">
        <v>21.2</v>
      </c>
      <c r="F53" s="48">
        <v>4.7</v>
      </c>
      <c r="G53" s="48">
        <v>13.2</v>
      </c>
      <c r="H53" s="48">
        <v>22.5</v>
      </c>
      <c r="I53" s="48">
        <v>5.0999999999999996</v>
      </c>
      <c r="J53" s="48">
        <v>7</v>
      </c>
      <c r="K53" s="48">
        <v>13</v>
      </c>
      <c r="L53" s="48">
        <v>2</v>
      </c>
    </row>
    <row r="54" spans="2:12">
      <c r="B54" s="11"/>
      <c r="C54" s="157">
        <v>1992</v>
      </c>
      <c r="D54" s="48">
        <v>12.1</v>
      </c>
      <c r="E54" s="48">
        <v>20.6</v>
      </c>
      <c r="F54" s="48">
        <v>4.7</v>
      </c>
      <c r="G54" s="48">
        <v>12.9</v>
      </c>
      <c r="H54" s="48">
        <v>21.9</v>
      </c>
      <c r="I54" s="48">
        <v>5</v>
      </c>
      <c r="J54" s="48">
        <v>6.9</v>
      </c>
      <c r="K54" s="48">
        <v>12.6</v>
      </c>
      <c r="L54" s="48">
        <v>2.1</v>
      </c>
    </row>
    <row r="55" spans="2:12">
      <c r="B55" s="11"/>
      <c r="C55" s="158" t="s">
        <v>170</v>
      </c>
      <c r="D55" s="159">
        <v>12.2</v>
      </c>
      <c r="E55" s="159">
        <v>20.9</v>
      </c>
      <c r="F55" s="159">
        <v>4.5999999999999996</v>
      </c>
      <c r="G55" s="159">
        <v>13</v>
      </c>
      <c r="H55" s="159">
        <v>22.1</v>
      </c>
      <c r="I55" s="159">
        <v>5</v>
      </c>
      <c r="J55" s="159">
        <v>7.1</v>
      </c>
      <c r="K55" s="159">
        <v>13</v>
      </c>
      <c r="L55" s="159">
        <v>2.2000000000000002</v>
      </c>
    </row>
    <row r="56" spans="2:12">
      <c r="B56" s="166"/>
      <c r="C56" s="157">
        <v>1994</v>
      </c>
      <c r="D56" s="159">
        <v>12.1</v>
      </c>
      <c r="E56" s="167">
        <v>20.7</v>
      </c>
      <c r="F56" s="167">
        <v>4.5</v>
      </c>
      <c r="G56" s="167">
        <v>12.8</v>
      </c>
      <c r="H56" s="167">
        <v>21.9</v>
      </c>
      <c r="I56" s="167">
        <v>4.8</v>
      </c>
      <c r="J56" s="167">
        <v>7</v>
      </c>
      <c r="K56" s="167">
        <v>12.9</v>
      </c>
      <c r="L56" s="167">
        <v>2.1</v>
      </c>
    </row>
    <row r="57" spans="2:12" s="14" customFormat="1">
      <c r="B57" s="166"/>
      <c r="C57" s="158" t="s">
        <v>56</v>
      </c>
      <c r="D57" s="159">
        <v>12</v>
      </c>
      <c r="E57" s="168">
        <v>20.6</v>
      </c>
      <c r="F57" s="168">
        <v>4.4000000000000004</v>
      </c>
      <c r="G57" s="168">
        <v>12.8</v>
      </c>
      <c r="H57" s="168">
        <v>21.9</v>
      </c>
      <c r="I57" s="168">
        <v>4.7</v>
      </c>
      <c r="J57" s="168">
        <v>6.9</v>
      </c>
      <c r="K57" s="168">
        <v>12.5</v>
      </c>
      <c r="L57" s="168">
        <v>2.1</v>
      </c>
    </row>
    <row r="58" spans="2:12">
      <c r="B58" s="166"/>
      <c r="C58" s="158" t="s">
        <v>57</v>
      </c>
      <c r="D58" s="159">
        <v>11.7</v>
      </c>
      <c r="E58" s="168">
        <v>20</v>
      </c>
      <c r="F58" s="168">
        <v>4.3</v>
      </c>
      <c r="G58" s="168">
        <v>12.5</v>
      </c>
      <c r="H58" s="168">
        <v>21.3</v>
      </c>
      <c r="I58" s="168">
        <v>4.7</v>
      </c>
      <c r="J58" s="168">
        <v>6.6</v>
      </c>
      <c r="K58" s="168">
        <v>11.9</v>
      </c>
      <c r="L58" s="168">
        <v>2</v>
      </c>
    </row>
    <row r="59" spans="2:12">
      <c r="B59" s="166"/>
      <c r="C59" s="158" t="s">
        <v>58</v>
      </c>
      <c r="D59" s="159">
        <v>11.4</v>
      </c>
      <c r="E59" s="168">
        <v>19.399999999999999</v>
      </c>
      <c r="F59" s="168">
        <v>4.4000000000000004</v>
      </c>
      <c r="G59" s="168">
        <v>12.3</v>
      </c>
      <c r="H59" s="168">
        <v>20.6</v>
      </c>
      <c r="I59" s="168">
        <v>4.8</v>
      </c>
      <c r="J59" s="168">
        <v>6.3</v>
      </c>
      <c r="K59" s="168">
        <v>11.4</v>
      </c>
      <c r="L59" s="168">
        <v>2</v>
      </c>
    </row>
    <row r="60" spans="2:12">
      <c r="B60" s="166"/>
      <c r="C60" s="158" t="s">
        <v>59</v>
      </c>
      <c r="D60" s="168">
        <v>11.3</v>
      </c>
      <c r="E60" s="168">
        <v>19.2</v>
      </c>
      <c r="F60" s="168">
        <v>4.3</v>
      </c>
      <c r="G60" s="168">
        <v>12.2</v>
      </c>
      <c r="H60" s="168">
        <v>20.6</v>
      </c>
      <c r="I60" s="168">
        <v>4.7</v>
      </c>
      <c r="J60" s="168">
        <v>5.8</v>
      </c>
      <c r="K60" s="168">
        <v>10.6</v>
      </c>
      <c r="L60" s="168">
        <v>1.8</v>
      </c>
    </row>
    <row r="61" spans="2:12">
      <c r="B61" s="166"/>
      <c r="C61" s="157">
        <v>1999</v>
      </c>
      <c r="D61" s="127">
        <v>10.7</v>
      </c>
      <c r="E61" s="168">
        <v>18.2</v>
      </c>
      <c r="F61" s="168">
        <v>4.0999999999999996</v>
      </c>
      <c r="G61" s="168">
        <v>11.5</v>
      </c>
      <c r="H61" s="168">
        <v>19.399999999999999</v>
      </c>
      <c r="I61" s="168">
        <v>4.4000000000000004</v>
      </c>
      <c r="J61" s="168">
        <v>5.7</v>
      </c>
      <c r="K61" s="168">
        <v>10.4</v>
      </c>
      <c r="L61" s="168">
        <v>1.6</v>
      </c>
    </row>
    <row r="62" spans="2:12">
      <c r="B62" s="166"/>
      <c r="C62" s="8">
        <v>2000</v>
      </c>
      <c r="D62" s="127">
        <v>10.6</v>
      </c>
      <c r="E62" s="127">
        <v>18.100000000000001</v>
      </c>
      <c r="F62" s="127">
        <v>4</v>
      </c>
      <c r="G62" s="127">
        <v>11.5</v>
      </c>
      <c r="H62" s="127">
        <v>19.399999999999999</v>
      </c>
      <c r="I62" s="127">
        <v>4.4000000000000004</v>
      </c>
      <c r="J62" s="127">
        <v>5.6</v>
      </c>
      <c r="K62" s="127">
        <v>10.199999999999999</v>
      </c>
      <c r="L62" s="127">
        <v>1.8</v>
      </c>
    </row>
    <row r="63" spans="2:12">
      <c r="B63" s="166"/>
      <c r="C63" s="8">
        <v>2001</v>
      </c>
      <c r="D63" s="127">
        <v>10.7</v>
      </c>
      <c r="E63" s="127">
        <v>18.2</v>
      </c>
      <c r="F63" s="127">
        <v>4</v>
      </c>
      <c r="G63" s="127">
        <v>11.7</v>
      </c>
      <c r="H63" s="127">
        <v>19.600000000000001</v>
      </c>
      <c r="I63" s="127">
        <v>4.5</v>
      </c>
      <c r="J63" s="127">
        <v>5.5</v>
      </c>
      <c r="K63" s="127">
        <v>9.8000000000000007</v>
      </c>
      <c r="L63" s="127">
        <v>1.8</v>
      </c>
    </row>
    <row r="64" spans="2:12">
      <c r="B64" s="166"/>
      <c r="C64" s="8">
        <v>2002</v>
      </c>
      <c r="D64" s="127">
        <v>10.9</v>
      </c>
      <c r="E64" s="127">
        <v>18.399999999999999</v>
      </c>
      <c r="F64" s="127">
        <v>4.2</v>
      </c>
      <c r="G64" s="127">
        <v>12</v>
      </c>
      <c r="H64" s="127">
        <v>20</v>
      </c>
      <c r="I64" s="127">
        <v>4.7</v>
      </c>
      <c r="J64" s="127">
        <v>5.3</v>
      </c>
      <c r="K64" s="127">
        <v>9.8000000000000007</v>
      </c>
      <c r="L64" s="127">
        <v>1.6</v>
      </c>
    </row>
    <row r="65" spans="2:12">
      <c r="B65" s="166"/>
      <c r="C65" s="8">
        <v>2003</v>
      </c>
      <c r="D65" s="127">
        <v>10.8</v>
      </c>
      <c r="E65" s="127">
        <v>18</v>
      </c>
      <c r="F65" s="127">
        <v>4.2</v>
      </c>
      <c r="G65" s="127">
        <v>11.8</v>
      </c>
      <c r="H65" s="127">
        <v>19.600000000000001</v>
      </c>
      <c r="I65" s="127">
        <v>4.5999999999999996</v>
      </c>
      <c r="J65" s="127">
        <v>5.2</v>
      </c>
      <c r="K65" s="127">
        <v>9.1999999999999993</v>
      </c>
      <c r="L65" s="127">
        <v>1.9</v>
      </c>
    </row>
    <row r="66" spans="2:12">
      <c r="B66" s="166"/>
      <c r="C66" s="8">
        <v>2004</v>
      </c>
      <c r="D66" s="127">
        <v>10.9</v>
      </c>
      <c r="E66" s="127">
        <v>18</v>
      </c>
      <c r="F66" s="127">
        <v>4.5</v>
      </c>
      <c r="G66" s="127">
        <v>12</v>
      </c>
      <c r="H66" s="127">
        <v>19.600000000000001</v>
      </c>
      <c r="I66" s="127">
        <v>5</v>
      </c>
      <c r="J66" s="127">
        <v>5.3</v>
      </c>
      <c r="K66" s="127">
        <v>9.6</v>
      </c>
      <c r="L66" s="127">
        <v>1.8</v>
      </c>
    </row>
    <row r="67" spans="2:12">
      <c r="B67" s="166"/>
      <c r="C67" s="8">
        <v>2005</v>
      </c>
      <c r="D67" s="127">
        <v>10.9</v>
      </c>
      <c r="E67" s="127">
        <v>18</v>
      </c>
      <c r="F67" s="127">
        <v>4.4000000000000004</v>
      </c>
      <c r="G67" s="127">
        <v>12</v>
      </c>
      <c r="H67" s="127">
        <v>19.600000000000001</v>
      </c>
      <c r="I67" s="127">
        <v>4.9000000000000004</v>
      </c>
      <c r="J67" s="127">
        <v>5.2</v>
      </c>
      <c r="K67" s="127">
        <v>9.1999999999999993</v>
      </c>
      <c r="L67" s="127">
        <v>1.9</v>
      </c>
    </row>
    <row r="68" spans="2:12">
      <c r="B68" s="166"/>
      <c r="C68" s="8">
        <v>2006</v>
      </c>
      <c r="D68" s="127">
        <v>10.9</v>
      </c>
      <c r="E68" s="127">
        <v>18</v>
      </c>
      <c r="F68" s="127">
        <v>4.5</v>
      </c>
      <c r="G68" s="127">
        <v>12.1</v>
      </c>
      <c r="H68" s="127">
        <v>19.600000000000001</v>
      </c>
      <c r="I68" s="127">
        <v>5.0999999999999996</v>
      </c>
      <c r="J68" s="127">
        <v>5.0999999999999996</v>
      </c>
      <c r="K68" s="127">
        <v>9.4</v>
      </c>
      <c r="L68" s="127">
        <v>1.4</v>
      </c>
    </row>
    <row r="69" spans="2:12">
      <c r="B69" s="166"/>
      <c r="C69" s="8">
        <v>2007</v>
      </c>
      <c r="D69" s="127">
        <v>11.3</v>
      </c>
      <c r="E69" s="127">
        <v>18.399999999999999</v>
      </c>
      <c r="F69" s="127">
        <v>4.7</v>
      </c>
      <c r="G69" s="127">
        <v>12.5</v>
      </c>
      <c r="H69" s="127">
        <v>20.2</v>
      </c>
      <c r="I69" s="127">
        <v>5.2</v>
      </c>
      <c r="J69" s="127">
        <v>5</v>
      </c>
      <c r="K69" s="127">
        <v>8.8000000000000007</v>
      </c>
      <c r="L69" s="127">
        <v>1.7</v>
      </c>
    </row>
    <row r="70" spans="2:12">
      <c r="B70" s="166"/>
      <c r="C70" s="8">
        <v>2008</v>
      </c>
      <c r="D70" s="127">
        <v>11.6</v>
      </c>
      <c r="E70" s="127">
        <v>18.899999999999999</v>
      </c>
      <c r="F70" s="127">
        <v>4.8</v>
      </c>
      <c r="G70" s="127">
        <v>12.9</v>
      </c>
      <c r="H70" s="127">
        <v>20.8</v>
      </c>
      <c r="I70" s="127">
        <v>5.4</v>
      </c>
      <c r="J70" s="127">
        <v>5.3</v>
      </c>
      <c r="K70" s="127">
        <v>9.5</v>
      </c>
      <c r="L70" s="127">
        <v>1.7</v>
      </c>
    </row>
    <row r="71" spans="2:12">
      <c r="B71" s="166"/>
      <c r="C71" s="8">
        <v>2009</v>
      </c>
      <c r="D71" s="127">
        <v>11.8</v>
      </c>
      <c r="E71" s="127">
        <v>19.2</v>
      </c>
      <c r="F71" s="127">
        <v>4.9000000000000004</v>
      </c>
      <c r="G71" s="127">
        <v>13.1</v>
      </c>
      <c r="H71" s="127">
        <v>21.1</v>
      </c>
      <c r="I71" s="127">
        <v>5.5</v>
      </c>
      <c r="J71" s="127">
        <v>5.2</v>
      </c>
      <c r="K71" s="127">
        <v>9</v>
      </c>
      <c r="L71" s="127">
        <v>1.9</v>
      </c>
    </row>
    <row r="72" spans="2:12">
      <c r="B72" s="166"/>
      <c r="C72" s="8">
        <v>2010</v>
      </c>
      <c r="D72" s="127">
        <v>12.1</v>
      </c>
      <c r="E72" s="127">
        <v>19.8</v>
      </c>
      <c r="F72" s="127">
        <v>5</v>
      </c>
      <c r="G72" s="127">
        <v>13.6</v>
      </c>
      <c r="H72" s="127">
        <v>22</v>
      </c>
      <c r="I72" s="127">
        <v>5.6</v>
      </c>
      <c r="J72" s="127">
        <v>5.2</v>
      </c>
      <c r="K72" s="127">
        <v>9.1</v>
      </c>
      <c r="L72" s="127">
        <v>1.8</v>
      </c>
    </row>
    <row r="73" spans="2:12">
      <c r="B73" s="166"/>
      <c r="C73" s="8">
        <v>2011</v>
      </c>
      <c r="D73" s="127">
        <v>12.3</v>
      </c>
      <c r="E73" s="127">
        <v>20</v>
      </c>
      <c r="F73" s="127">
        <v>5.2</v>
      </c>
      <c r="G73" s="127">
        <v>13.9</v>
      </c>
      <c r="H73" s="127">
        <v>22.3</v>
      </c>
      <c r="I73" s="127">
        <v>5.9</v>
      </c>
      <c r="J73" s="127">
        <v>5.4</v>
      </c>
      <c r="K73" s="127">
        <v>9.3000000000000007</v>
      </c>
      <c r="L73" s="127">
        <v>1.9</v>
      </c>
    </row>
    <row r="74" spans="2:12">
      <c r="B74" s="166"/>
      <c r="C74" s="8">
        <v>2012</v>
      </c>
      <c r="D74" s="127">
        <v>12.6</v>
      </c>
      <c r="E74" s="127">
        <v>20.399999999999999</v>
      </c>
      <c r="F74" s="127">
        <v>5.4</v>
      </c>
      <c r="G74" s="127">
        <v>14.1</v>
      </c>
      <c r="H74" s="127">
        <v>22.6</v>
      </c>
      <c r="I74" s="127">
        <v>6.1</v>
      </c>
      <c r="J74" s="127">
        <v>5.6</v>
      </c>
      <c r="K74" s="127">
        <v>9.6</v>
      </c>
      <c r="L74" s="127">
        <v>2</v>
      </c>
    </row>
    <row r="75" spans="2:12">
      <c r="B75" s="171"/>
      <c r="C75" s="6"/>
      <c r="D75" s="175"/>
      <c r="E75" s="175"/>
      <c r="F75" s="175"/>
      <c r="G75" s="175"/>
      <c r="H75" s="175"/>
      <c r="I75" s="175"/>
      <c r="J75" s="175"/>
      <c r="K75" s="175"/>
      <c r="L75" s="175"/>
    </row>
    <row r="76" spans="2:12" ht="27.75" customHeight="1">
      <c r="B76" s="347" t="s">
        <v>613</v>
      </c>
      <c r="C76" s="348"/>
      <c r="D76" s="348"/>
      <c r="E76" s="348"/>
      <c r="F76" s="348"/>
      <c r="G76" s="348"/>
      <c r="H76" s="348"/>
      <c r="I76" s="348"/>
      <c r="J76" s="348"/>
      <c r="K76" s="348"/>
      <c r="L76" s="348"/>
    </row>
    <row r="77" spans="2:12" ht="54.75" customHeight="1">
      <c r="B77" s="347" t="s">
        <v>60</v>
      </c>
      <c r="C77" s="348"/>
      <c r="D77" s="348"/>
      <c r="E77" s="348"/>
      <c r="F77" s="348"/>
      <c r="G77" s="348"/>
      <c r="H77" s="348"/>
      <c r="I77" s="348"/>
      <c r="J77" s="348"/>
      <c r="K77" s="348"/>
      <c r="L77" s="348"/>
    </row>
    <row r="78" spans="2:12" ht="83.25" customHeight="1">
      <c r="B78" s="347" t="s">
        <v>116</v>
      </c>
      <c r="C78" s="348"/>
      <c r="D78" s="348"/>
      <c r="E78" s="348"/>
      <c r="F78" s="348"/>
      <c r="G78" s="348"/>
      <c r="H78" s="348"/>
      <c r="I78" s="348"/>
      <c r="J78" s="348"/>
      <c r="K78" s="348"/>
      <c r="L78" s="348"/>
    </row>
    <row r="79" spans="2:12" ht="27.7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128</v>
      </c>
      <c r="C2" s="4"/>
      <c r="D2" s="4"/>
      <c r="E2" s="4"/>
      <c r="F2" s="4"/>
      <c r="G2" s="4"/>
      <c r="H2" s="4"/>
      <c r="I2" s="4"/>
      <c r="J2" s="4"/>
      <c r="K2" s="4"/>
      <c r="L2" s="4"/>
    </row>
    <row r="3" spans="1:12" ht="15.75">
      <c r="B3" s="5" t="s">
        <v>129</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10.8</v>
      </c>
      <c r="E7" s="174">
        <v>16.7</v>
      </c>
      <c r="F7" s="174">
        <v>5.2</v>
      </c>
      <c r="G7" s="174">
        <v>4.7</v>
      </c>
      <c r="H7" s="174">
        <v>6.5</v>
      </c>
      <c r="I7" s="174">
        <v>3</v>
      </c>
      <c r="J7" s="174">
        <v>54.3</v>
      </c>
      <c r="K7" s="174">
        <v>95.3</v>
      </c>
      <c r="L7" s="174">
        <v>19.5</v>
      </c>
    </row>
    <row r="8" spans="1:12">
      <c r="B8" s="11"/>
      <c r="C8" s="157" t="s">
        <v>252</v>
      </c>
      <c r="D8" s="160">
        <v>10.1</v>
      </c>
      <c r="E8" s="160">
        <v>15.6</v>
      </c>
      <c r="F8" s="160">
        <v>4.9000000000000004</v>
      </c>
      <c r="G8" s="160">
        <v>4.0999999999999996</v>
      </c>
      <c r="H8" s="160">
        <v>5.7</v>
      </c>
      <c r="I8" s="160">
        <v>2.5</v>
      </c>
      <c r="J8" s="160">
        <v>52.8</v>
      </c>
      <c r="K8" s="160">
        <v>91.7</v>
      </c>
      <c r="L8" s="160">
        <v>20.100000000000001</v>
      </c>
    </row>
    <row r="9" spans="1:12">
      <c r="B9" s="11"/>
      <c r="C9" s="157" t="s">
        <v>253</v>
      </c>
      <c r="D9" s="160">
        <v>10</v>
      </c>
      <c r="E9" s="160">
        <v>15.6</v>
      </c>
      <c r="F9" s="160">
        <v>4.8</v>
      </c>
      <c r="G9" s="160">
        <v>4.2</v>
      </c>
      <c r="H9" s="160">
        <v>5.7</v>
      </c>
      <c r="I9" s="160">
        <v>2.9</v>
      </c>
      <c r="J9" s="160">
        <v>50.1</v>
      </c>
      <c r="K9" s="160">
        <v>90.1</v>
      </c>
      <c r="L9" s="160">
        <v>16.399999999999999</v>
      </c>
    </row>
    <row r="10" spans="1:12">
      <c r="B10" s="11"/>
      <c r="C10" s="157" t="s">
        <v>254</v>
      </c>
      <c r="D10" s="160">
        <v>10.199999999999999</v>
      </c>
      <c r="E10" s="160">
        <v>16.399999999999999</v>
      </c>
      <c r="F10" s="160">
        <v>4.2</v>
      </c>
      <c r="G10" s="160">
        <v>3.9</v>
      </c>
      <c r="H10" s="160">
        <v>5.7</v>
      </c>
      <c r="I10" s="160">
        <v>2.2000000000000002</v>
      </c>
      <c r="J10" s="160">
        <v>53.2</v>
      </c>
      <c r="K10" s="160">
        <v>95.9</v>
      </c>
      <c r="L10" s="160">
        <v>17.100000000000001</v>
      </c>
    </row>
    <row r="11" spans="1:12">
      <c r="B11" s="11"/>
      <c r="C11" s="157" t="s">
        <v>255</v>
      </c>
      <c r="D11" s="160">
        <v>9.9</v>
      </c>
      <c r="E11" s="160">
        <v>16</v>
      </c>
      <c r="F11" s="160">
        <v>4.3</v>
      </c>
      <c r="G11" s="160">
        <v>4</v>
      </c>
      <c r="H11" s="160">
        <v>5.5</v>
      </c>
      <c r="I11" s="160">
        <v>2.5</v>
      </c>
      <c r="J11" s="160">
        <v>50.1</v>
      </c>
      <c r="K11" s="160">
        <v>92.1</v>
      </c>
      <c r="L11" s="160">
        <v>14.8</v>
      </c>
    </row>
    <row r="12" spans="1:12" ht="15.75">
      <c r="B12" s="156"/>
      <c r="C12" s="157" t="s">
        <v>256</v>
      </c>
      <c r="D12" s="160">
        <v>11.1</v>
      </c>
      <c r="E12" s="160">
        <v>17.600000000000001</v>
      </c>
      <c r="F12" s="160">
        <v>5</v>
      </c>
      <c r="G12" s="160">
        <v>4.4000000000000004</v>
      </c>
      <c r="H12" s="160">
        <v>6.3</v>
      </c>
      <c r="I12" s="160">
        <v>2.7</v>
      </c>
      <c r="J12" s="160">
        <v>55.8</v>
      </c>
      <c r="K12" s="160">
        <v>98.3</v>
      </c>
      <c r="L12" s="160">
        <v>19.5</v>
      </c>
    </row>
    <row r="13" spans="1:12">
      <c r="B13" s="11"/>
      <c r="C13" s="157" t="s">
        <v>257</v>
      </c>
      <c r="D13" s="160">
        <v>11.6</v>
      </c>
      <c r="E13" s="160">
        <v>18.600000000000001</v>
      </c>
      <c r="F13" s="160">
        <v>4.9000000000000004</v>
      </c>
      <c r="G13" s="160">
        <v>4.0999999999999996</v>
      </c>
      <c r="H13" s="160">
        <v>5.9</v>
      </c>
      <c r="I13" s="160">
        <v>2.4</v>
      </c>
      <c r="J13" s="160">
        <v>60.3</v>
      </c>
      <c r="K13" s="160">
        <v>107.1</v>
      </c>
      <c r="L13" s="160">
        <v>20.3</v>
      </c>
    </row>
    <row r="14" spans="1:12">
      <c r="B14" s="11"/>
      <c r="C14" s="157" t="s">
        <v>258</v>
      </c>
      <c r="D14" s="160">
        <v>11.8</v>
      </c>
      <c r="E14" s="160">
        <v>18.3</v>
      </c>
      <c r="F14" s="160">
        <v>5.6</v>
      </c>
      <c r="G14" s="160">
        <v>4.2</v>
      </c>
      <c r="H14" s="160">
        <v>5.7</v>
      </c>
      <c r="I14" s="160">
        <v>2.7</v>
      </c>
      <c r="J14" s="160">
        <v>59.6</v>
      </c>
      <c r="K14" s="160">
        <v>103.5</v>
      </c>
      <c r="L14" s="160">
        <v>22.4</v>
      </c>
    </row>
    <row r="15" spans="1:12" ht="15.75">
      <c r="B15" s="156" t="s">
        <v>52</v>
      </c>
      <c r="C15" s="157" t="s">
        <v>259</v>
      </c>
      <c r="D15" s="160">
        <v>11</v>
      </c>
      <c r="E15" s="160">
        <v>17.600000000000001</v>
      </c>
      <c r="F15" s="160">
        <v>4.7</v>
      </c>
      <c r="G15" s="160">
        <v>3.9</v>
      </c>
      <c r="H15" s="160">
        <v>5.6</v>
      </c>
      <c r="I15" s="160">
        <v>2.2999999999999998</v>
      </c>
      <c r="J15" s="160">
        <v>55.5</v>
      </c>
      <c r="K15" s="160">
        <v>99.6</v>
      </c>
      <c r="L15" s="160">
        <v>18.100000000000001</v>
      </c>
    </row>
    <row r="16" spans="1:12">
      <c r="B16" s="11"/>
      <c r="C16" s="157" t="s">
        <v>260</v>
      </c>
      <c r="D16" s="160">
        <v>10.9</v>
      </c>
      <c r="E16" s="160">
        <v>17.5</v>
      </c>
      <c r="F16" s="160">
        <v>4.5999999999999996</v>
      </c>
      <c r="G16" s="160">
        <v>3.4</v>
      </c>
      <c r="H16" s="160">
        <v>5</v>
      </c>
      <c r="I16" s="160">
        <v>1.8</v>
      </c>
      <c r="J16" s="160">
        <v>57.2</v>
      </c>
      <c r="K16" s="160">
        <v>100.4</v>
      </c>
      <c r="L16" s="160">
        <v>20.5</v>
      </c>
    </row>
    <row r="17" spans="2:12">
      <c r="B17" s="11"/>
      <c r="C17" s="157" t="s">
        <v>167</v>
      </c>
      <c r="D17" s="160">
        <v>11</v>
      </c>
      <c r="E17" s="160">
        <v>17.399999999999999</v>
      </c>
      <c r="F17" s="160">
        <v>4.9000000000000004</v>
      </c>
      <c r="G17" s="160">
        <v>3.9</v>
      </c>
      <c r="H17" s="160">
        <v>5.2</v>
      </c>
      <c r="I17" s="160">
        <v>2.6</v>
      </c>
      <c r="J17" s="160">
        <v>53.3</v>
      </c>
      <c r="K17" s="160">
        <v>95.2</v>
      </c>
      <c r="L17" s="160">
        <v>17.600000000000001</v>
      </c>
    </row>
    <row r="18" spans="2:12">
      <c r="B18" s="11"/>
      <c r="C18" s="157" t="s">
        <v>168</v>
      </c>
      <c r="D18" s="160">
        <v>11.7</v>
      </c>
      <c r="E18" s="160">
        <v>18.399999999999999</v>
      </c>
      <c r="F18" s="160">
        <v>5</v>
      </c>
      <c r="G18" s="160">
        <v>4.2</v>
      </c>
      <c r="H18" s="160">
        <v>5.4</v>
      </c>
      <c r="I18" s="160">
        <v>3</v>
      </c>
      <c r="J18" s="160">
        <v>55.7</v>
      </c>
      <c r="K18" s="160">
        <v>101.1</v>
      </c>
      <c r="L18" s="160">
        <v>16.399999999999999</v>
      </c>
    </row>
    <row r="19" spans="2:12">
      <c r="B19" s="11"/>
      <c r="C19" s="157" t="s">
        <v>169</v>
      </c>
      <c r="D19" s="160">
        <v>10.7</v>
      </c>
      <c r="E19" s="160">
        <v>16.899999999999999</v>
      </c>
      <c r="F19" s="160">
        <v>4.5999999999999996</v>
      </c>
      <c r="G19" s="160">
        <v>4</v>
      </c>
      <c r="H19" s="160">
        <v>5.9</v>
      </c>
      <c r="I19" s="160">
        <v>2.1</v>
      </c>
      <c r="J19" s="160">
        <v>49.7</v>
      </c>
      <c r="K19" s="160">
        <v>86</v>
      </c>
      <c r="L19" s="160">
        <v>18.3</v>
      </c>
    </row>
    <row r="20" spans="2:12">
      <c r="B20" s="11"/>
      <c r="C20" s="157" t="s">
        <v>170</v>
      </c>
      <c r="D20" s="160">
        <v>10.5</v>
      </c>
      <c r="E20" s="160">
        <v>16.2</v>
      </c>
      <c r="F20" s="160">
        <v>4.9000000000000004</v>
      </c>
      <c r="G20" s="160">
        <v>3.4</v>
      </c>
      <c r="H20" s="160">
        <v>4.0999999999999996</v>
      </c>
      <c r="I20" s="160">
        <v>2.6</v>
      </c>
      <c r="J20" s="160">
        <v>51.5</v>
      </c>
      <c r="K20" s="160">
        <v>89.8</v>
      </c>
      <c r="L20" s="160">
        <v>17.8</v>
      </c>
    </row>
    <row r="21" spans="2:12">
      <c r="B21" s="11"/>
      <c r="C21" s="157">
        <v>1994</v>
      </c>
      <c r="D21" s="160">
        <v>10.4</v>
      </c>
      <c r="E21" s="160">
        <v>16.600000000000001</v>
      </c>
      <c r="F21" s="160">
        <v>4.3</v>
      </c>
      <c r="G21" s="160">
        <v>3.6</v>
      </c>
      <c r="H21" s="160">
        <v>5</v>
      </c>
      <c r="I21" s="160">
        <v>2.2999999999999998</v>
      </c>
      <c r="J21" s="160">
        <v>49.6</v>
      </c>
      <c r="K21" s="160">
        <v>87.6</v>
      </c>
      <c r="L21" s="160">
        <v>15.8</v>
      </c>
    </row>
    <row r="22" spans="2:12" s="14" customFormat="1">
      <c r="B22" s="11"/>
      <c r="C22" s="157">
        <v>1995</v>
      </c>
      <c r="D22" s="160">
        <v>9.6</v>
      </c>
      <c r="E22" s="160">
        <v>14.9</v>
      </c>
      <c r="F22" s="160">
        <v>4.3</v>
      </c>
      <c r="G22" s="160">
        <v>3.4</v>
      </c>
      <c r="H22" s="160">
        <v>4.5999999999999996</v>
      </c>
      <c r="I22" s="160">
        <v>2.2000000000000002</v>
      </c>
      <c r="J22" s="160">
        <v>44.4</v>
      </c>
      <c r="K22" s="160">
        <v>77.2</v>
      </c>
      <c r="L22" s="160">
        <v>15.5</v>
      </c>
    </row>
    <row r="23" spans="2:12">
      <c r="B23" s="11"/>
      <c r="C23" s="157">
        <v>1996</v>
      </c>
      <c r="D23" s="160">
        <v>8.1</v>
      </c>
      <c r="E23" s="160">
        <v>12.5</v>
      </c>
      <c r="F23" s="160">
        <v>3.8</v>
      </c>
      <c r="G23" s="160">
        <v>2.7</v>
      </c>
      <c r="H23" s="160">
        <v>3.5</v>
      </c>
      <c r="I23" s="160">
        <v>1.9</v>
      </c>
      <c r="J23" s="160">
        <v>38.799999999999997</v>
      </c>
      <c r="K23" s="160">
        <v>66.599999999999994</v>
      </c>
      <c r="L23" s="160">
        <v>14.2</v>
      </c>
    </row>
    <row r="24" spans="2:12">
      <c r="B24" s="11"/>
      <c r="C24" s="157">
        <v>1997</v>
      </c>
      <c r="D24" s="160">
        <v>7.9</v>
      </c>
      <c r="E24" s="160">
        <v>12.1</v>
      </c>
      <c r="F24" s="160">
        <v>3.7</v>
      </c>
      <c r="G24" s="160">
        <v>2.7</v>
      </c>
      <c r="H24" s="160">
        <v>3.6</v>
      </c>
      <c r="I24" s="160">
        <v>1.8</v>
      </c>
      <c r="J24" s="160">
        <v>37.200000000000003</v>
      </c>
      <c r="K24" s="160">
        <v>63.2</v>
      </c>
      <c r="L24" s="160">
        <v>14.2</v>
      </c>
    </row>
    <row r="25" spans="2:12">
      <c r="B25" s="11"/>
      <c r="C25" s="157">
        <v>1998</v>
      </c>
      <c r="D25" s="160">
        <v>7.8</v>
      </c>
      <c r="E25" s="160">
        <v>11.8</v>
      </c>
      <c r="F25" s="160">
        <v>3.8</v>
      </c>
      <c r="G25" s="160">
        <v>2.9</v>
      </c>
      <c r="H25" s="160">
        <v>3.8</v>
      </c>
      <c r="I25" s="160">
        <v>2</v>
      </c>
      <c r="J25" s="160">
        <v>35.1</v>
      </c>
      <c r="K25" s="160">
        <v>59.4</v>
      </c>
      <c r="L25" s="160">
        <v>13.2</v>
      </c>
    </row>
    <row r="26" spans="2:12">
      <c r="B26" s="11"/>
      <c r="C26" s="157">
        <v>1999</v>
      </c>
      <c r="D26" s="160">
        <v>7.6</v>
      </c>
      <c r="E26" s="160">
        <v>11.8</v>
      </c>
      <c r="F26" s="160">
        <v>3.3</v>
      </c>
      <c r="G26" s="160">
        <v>2.7</v>
      </c>
      <c r="H26" s="160">
        <v>3.5</v>
      </c>
      <c r="I26" s="160">
        <v>1.9</v>
      </c>
      <c r="J26" s="160">
        <v>34.700000000000003</v>
      </c>
      <c r="K26" s="160">
        <v>61.5</v>
      </c>
      <c r="L26" s="160">
        <v>11</v>
      </c>
    </row>
    <row r="27" spans="2:12">
      <c r="B27" s="11"/>
      <c r="C27" s="157">
        <v>2000</v>
      </c>
      <c r="D27" s="160">
        <v>7.2</v>
      </c>
      <c r="E27" s="160">
        <v>11</v>
      </c>
      <c r="F27" s="160">
        <v>3.5</v>
      </c>
      <c r="G27" s="160">
        <v>2.7</v>
      </c>
      <c r="H27" s="160">
        <v>3.3</v>
      </c>
      <c r="I27" s="160">
        <v>2.2000000000000002</v>
      </c>
      <c r="J27" s="160">
        <v>32.6</v>
      </c>
      <c r="K27" s="160">
        <v>57.6</v>
      </c>
      <c r="L27" s="160">
        <v>10.5</v>
      </c>
    </row>
    <row r="28" spans="2:12">
      <c r="B28" s="11"/>
      <c r="C28" s="8">
        <v>2001</v>
      </c>
      <c r="D28" s="160">
        <v>6.9</v>
      </c>
      <c r="E28" s="160">
        <v>10.9</v>
      </c>
      <c r="F28" s="160">
        <v>2.9</v>
      </c>
      <c r="G28" s="160">
        <v>2.5</v>
      </c>
      <c r="H28" s="160">
        <v>3.1</v>
      </c>
      <c r="I28" s="160">
        <v>1.8</v>
      </c>
      <c r="J28" s="160">
        <v>31.7</v>
      </c>
      <c r="K28" s="160">
        <v>57.2</v>
      </c>
      <c r="L28" s="160">
        <v>9</v>
      </c>
    </row>
    <row r="29" spans="2:12">
      <c r="B29" s="11"/>
      <c r="C29" s="157">
        <v>2002</v>
      </c>
      <c r="D29" s="159">
        <v>7</v>
      </c>
      <c r="E29" s="159">
        <v>10.9</v>
      </c>
      <c r="F29" s="159">
        <v>3.1</v>
      </c>
      <c r="G29" s="159">
        <v>2.4</v>
      </c>
      <c r="H29" s="159">
        <v>3.3</v>
      </c>
      <c r="I29" s="159">
        <v>1.5</v>
      </c>
      <c r="J29" s="159">
        <v>32.4</v>
      </c>
      <c r="K29" s="159">
        <v>56.2</v>
      </c>
      <c r="L29" s="159">
        <v>11.2</v>
      </c>
    </row>
    <row r="30" spans="2:12">
      <c r="B30" s="11"/>
      <c r="C30" s="157">
        <v>2003</v>
      </c>
      <c r="D30" s="159">
        <v>6.5</v>
      </c>
      <c r="E30" s="159">
        <v>10.3</v>
      </c>
      <c r="F30" s="159">
        <v>2.7</v>
      </c>
      <c r="G30" s="159">
        <v>2.2000000000000002</v>
      </c>
      <c r="H30" s="159">
        <v>2.9</v>
      </c>
      <c r="I30" s="159">
        <v>1.5</v>
      </c>
      <c r="J30" s="159">
        <v>30.4</v>
      </c>
      <c r="K30" s="159">
        <v>54</v>
      </c>
      <c r="L30" s="159">
        <v>9.1999999999999993</v>
      </c>
    </row>
    <row r="31" spans="2:12">
      <c r="B31" s="11"/>
      <c r="C31" s="157">
        <v>2004</v>
      </c>
      <c r="D31" s="159">
        <v>6.8</v>
      </c>
      <c r="E31" s="159">
        <v>10.9</v>
      </c>
      <c r="F31" s="159">
        <v>2.8</v>
      </c>
      <c r="G31" s="159">
        <v>2.1</v>
      </c>
      <c r="H31" s="159">
        <v>2.6</v>
      </c>
      <c r="I31" s="159">
        <v>1.5</v>
      </c>
      <c r="J31" s="159">
        <v>31.4</v>
      </c>
      <c r="K31" s="159">
        <v>57.6</v>
      </c>
      <c r="L31" s="159">
        <v>8.3000000000000007</v>
      </c>
    </row>
    <row r="32" spans="2:12">
      <c r="B32" s="11"/>
      <c r="C32" s="157">
        <v>2005</v>
      </c>
      <c r="D32" s="159">
        <v>6.8</v>
      </c>
      <c r="E32" s="159">
        <v>11.1</v>
      </c>
      <c r="F32" s="159">
        <v>2.6</v>
      </c>
      <c r="G32" s="159">
        <v>2</v>
      </c>
      <c r="H32" s="159">
        <v>2.4</v>
      </c>
      <c r="I32" s="159">
        <v>1.6</v>
      </c>
      <c r="J32" s="159">
        <v>31.5</v>
      </c>
      <c r="K32" s="159">
        <v>57.8</v>
      </c>
      <c r="L32" s="159">
        <v>7.7</v>
      </c>
    </row>
    <row r="33" spans="2:12">
      <c r="B33" s="11"/>
      <c r="C33" s="157">
        <v>2006</v>
      </c>
      <c r="D33" s="159">
        <v>7.3</v>
      </c>
      <c r="E33" s="159">
        <v>11.8</v>
      </c>
      <c r="F33" s="159">
        <v>2.9</v>
      </c>
      <c r="G33" s="159">
        <v>2.1</v>
      </c>
      <c r="H33" s="159">
        <v>2.8</v>
      </c>
      <c r="I33" s="159">
        <v>1.4</v>
      </c>
      <c r="J33" s="159">
        <v>34.299999999999997</v>
      </c>
      <c r="K33" s="159">
        <v>60.8</v>
      </c>
      <c r="L33" s="159">
        <v>10.199999999999999</v>
      </c>
    </row>
    <row r="34" spans="2:12">
      <c r="B34" s="11"/>
      <c r="C34" s="157">
        <v>2007</v>
      </c>
      <c r="D34" s="159">
        <v>7.2</v>
      </c>
      <c r="E34" s="159">
        <v>11.6</v>
      </c>
      <c r="F34" s="159">
        <v>2.8</v>
      </c>
      <c r="G34" s="159">
        <v>2.4</v>
      </c>
      <c r="H34" s="159">
        <v>3.1</v>
      </c>
      <c r="I34" s="159">
        <v>1.7</v>
      </c>
      <c r="J34" s="159">
        <v>32.4</v>
      </c>
      <c r="K34" s="159">
        <v>58.6</v>
      </c>
      <c r="L34" s="159">
        <v>8.6</v>
      </c>
    </row>
    <row r="35" spans="2:12">
      <c r="B35" s="11"/>
      <c r="C35" s="157">
        <v>2008</v>
      </c>
      <c r="D35" s="159">
        <v>6.6</v>
      </c>
      <c r="E35" s="159">
        <v>11</v>
      </c>
      <c r="F35" s="159">
        <v>2.2000000000000002</v>
      </c>
      <c r="G35" s="159">
        <v>2</v>
      </c>
      <c r="H35" s="159">
        <v>2.6</v>
      </c>
      <c r="I35" s="159">
        <v>1.4</v>
      </c>
      <c r="J35" s="159">
        <v>30.2</v>
      </c>
      <c r="K35" s="159">
        <v>56.9</v>
      </c>
      <c r="L35" s="159">
        <v>5.7</v>
      </c>
    </row>
    <row r="36" spans="2:12">
      <c r="B36" s="11"/>
      <c r="C36" s="157">
        <v>2009</v>
      </c>
      <c r="D36" s="159">
        <v>6.9</v>
      </c>
      <c r="E36" s="159">
        <v>11.4</v>
      </c>
      <c r="F36" s="159">
        <v>2.5</v>
      </c>
      <c r="G36" s="159">
        <v>2.1</v>
      </c>
      <c r="H36" s="159">
        <v>2.8</v>
      </c>
      <c r="I36" s="159">
        <v>1.3</v>
      </c>
      <c r="J36" s="159">
        <v>31.8</v>
      </c>
      <c r="K36" s="159">
        <v>58.3</v>
      </c>
      <c r="L36" s="159">
        <v>8</v>
      </c>
    </row>
    <row r="37" spans="2:12">
      <c r="B37" s="11"/>
      <c r="C37" s="157">
        <v>2010</v>
      </c>
      <c r="D37" s="159">
        <v>6.4</v>
      </c>
      <c r="E37" s="159">
        <v>10.6</v>
      </c>
      <c r="F37" s="159">
        <v>2.2999999999999998</v>
      </c>
      <c r="G37" s="159">
        <v>2.1</v>
      </c>
      <c r="H37" s="159">
        <v>2.6</v>
      </c>
      <c r="I37" s="159">
        <v>1.5</v>
      </c>
      <c r="J37" s="159">
        <v>28</v>
      </c>
      <c r="K37" s="159">
        <v>52.3</v>
      </c>
      <c r="L37" s="159">
        <v>5.8</v>
      </c>
    </row>
    <row r="38" spans="2:12">
      <c r="B38" s="11"/>
      <c r="C38" s="157">
        <v>2011</v>
      </c>
      <c r="D38" s="159">
        <v>7</v>
      </c>
      <c r="E38" s="159">
        <v>11.4</v>
      </c>
      <c r="F38" s="159">
        <v>2.5</v>
      </c>
      <c r="G38" s="159">
        <v>2.2000000000000002</v>
      </c>
      <c r="H38" s="159">
        <v>2.8</v>
      </c>
      <c r="I38" s="159">
        <v>1.5</v>
      </c>
      <c r="J38" s="159">
        <v>31.3</v>
      </c>
      <c r="K38" s="159">
        <v>57.5</v>
      </c>
      <c r="L38" s="159">
        <v>7.5</v>
      </c>
    </row>
    <row r="39" spans="2:12">
      <c r="B39" s="11"/>
      <c r="C39" s="157">
        <v>2012</v>
      </c>
      <c r="D39" s="159">
        <v>7.8</v>
      </c>
      <c r="E39" s="159">
        <v>13.1</v>
      </c>
      <c r="F39" s="159">
        <v>2.5</v>
      </c>
      <c r="G39" s="159">
        <v>2.2999999999999998</v>
      </c>
      <c r="H39" s="159">
        <v>3.4</v>
      </c>
      <c r="I39" s="159">
        <v>1.3</v>
      </c>
      <c r="J39" s="159">
        <v>35.4</v>
      </c>
      <c r="K39" s="159">
        <v>65.400000000000006</v>
      </c>
      <c r="L39" s="159">
        <v>8.1</v>
      </c>
    </row>
    <row r="40" spans="2:12">
      <c r="B40" s="11"/>
      <c r="C40" s="157">
        <v>2013</v>
      </c>
      <c r="D40" s="159">
        <v>6.7</v>
      </c>
      <c r="E40" s="159">
        <v>11</v>
      </c>
      <c r="F40" s="159">
        <v>2.5</v>
      </c>
      <c r="G40" s="159">
        <v>1.9</v>
      </c>
      <c r="H40" s="159">
        <v>2.5</v>
      </c>
      <c r="I40" s="159">
        <v>1.3</v>
      </c>
      <c r="J40" s="159">
        <v>32</v>
      </c>
      <c r="K40" s="159">
        <v>57.5</v>
      </c>
      <c r="L40" s="159">
        <v>8.8000000000000007</v>
      </c>
    </row>
    <row r="41" spans="2:12">
      <c r="B41" s="11"/>
      <c r="C41" s="157"/>
      <c r="D41" s="159"/>
      <c r="E41" s="159"/>
      <c r="F41" s="159"/>
      <c r="G41" s="159"/>
      <c r="H41" s="159"/>
      <c r="I41" s="159"/>
      <c r="J41" s="159"/>
      <c r="K41" s="159"/>
      <c r="L41" s="159"/>
    </row>
    <row r="42" spans="2:12">
      <c r="B42" s="64"/>
      <c r="C42" s="163" t="s">
        <v>166</v>
      </c>
      <c r="D42" s="164">
        <v>10.5</v>
      </c>
      <c r="E42" s="164">
        <v>16.899999999999999</v>
      </c>
      <c r="F42" s="164">
        <v>4.4000000000000004</v>
      </c>
      <c r="G42" s="164">
        <v>6.8</v>
      </c>
      <c r="H42" s="164">
        <v>10.7</v>
      </c>
      <c r="I42" s="164">
        <v>3.2</v>
      </c>
      <c r="J42" s="164">
        <v>39.4</v>
      </c>
      <c r="K42" s="164">
        <v>70.3</v>
      </c>
      <c r="L42" s="164">
        <v>13.2</v>
      </c>
    </row>
    <row r="43" spans="2:12">
      <c r="B43" s="11"/>
      <c r="C43" s="157" t="s">
        <v>252</v>
      </c>
      <c r="D43" s="48">
        <v>10.1</v>
      </c>
      <c r="E43" s="48">
        <v>16.2</v>
      </c>
      <c r="F43" s="48">
        <v>4.2</v>
      </c>
      <c r="G43" s="48">
        <v>6.5</v>
      </c>
      <c r="H43" s="48">
        <v>10.1</v>
      </c>
      <c r="I43" s="48">
        <v>3.1</v>
      </c>
      <c r="J43" s="48">
        <v>38</v>
      </c>
      <c r="K43" s="48">
        <v>68.099999999999994</v>
      </c>
      <c r="L43" s="48">
        <v>12.5</v>
      </c>
    </row>
    <row r="44" spans="2:12">
      <c r="B44" s="11"/>
      <c r="C44" s="157" t="s">
        <v>253</v>
      </c>
      <c r="D44" s="48">
        <v>9.4</v>
      </c>
      <c r="E44" s="48">
        <v>14.9</v>
      </c>
      <c r="F44" s="48">
        <v>4.0999999999999996</v>
      </c>
      <c r="G44" s="48">
        <v>6.2</v>
      </c>
      <c r="H44" s="48">
        <v>9.4</v>
      </c>
      <c r="I44" s="48">
        <v>3.1</v>
      </c>
      <c r="J44" s="48">
        <v>34.6</v>
      </c>
      <c r="K44" s="48">
        <v>61.2</v>
      </c>
      <c r="L44" s="48">
        <v>11.8</v>
      </c>
    </row>
    <row r="45" spans="2:12">
      <c r="B45" s="11"/>
      <c r="C45" s="157" t="s">
        <v>254</v>
      </c>
      <c r="D45" s="48">
        <v>8.4</v>
      </c>
      <c r="E45" s="48">
        <v>13.2</v>
      </c>
      <c r="F45" s="48">
        <v>3.8</v>
      </c>
      <c r="G45" s="48">
        <v>5.5</v>
      </c>
      <c r="H45" s="48">
        <v>8.3000000000000007</v>
      </c>
      <c r="I45" s="48">
        <v>2.8</v>
      </c>
      <c r="J45" s="48">
        <v>30.5</v>
      </c>
      <c r="K45" s="48">
        <v>53.3</v>
      </c>
      <c r="L45" s="48">
        <v>11</v>
      </c>
    </row>
    <row r="46" spans="2:12">
      <c r="B46" s="11"/>
      <c r="C46" s="157" t="s">
        <v>255</v>
      </c>
      <c r="D46" s="48">
        <v>8.1</v>
      </c>
      <c r="E46" s="48">
        <v>12.6</v>
      </c>
      <c r="F46" s="48">
        <v>3.8</v>
      </c>
      <c r="G46" s="48">
        <v>5.4</v>
      </c>
      <c r="H46" s="48">
        <v>8.1</v>
      </c>
      <c r="I46" s="48">
        <v>2.8</v>
      </c>
      <c r="J46" s="48">
        <v>29</v>
      </c>
      <c r="K46" s="48">
        <v>50.5</v>
      </c>
      <c r="L46" s="48">
        <v>10.8</v>
      </c>
    </row>
    <row r="47" spans="2:12" ht="15.75">
      <c r="B47" s="156"/>
      <c r="C47" s="157" t="s">
        <v>256</v>
      </c>
      <c r="D47" s="48">
        <v>8</v>
      </c>
      <c r="E47" s="48">
        <v>12.4</v>
      </c>
      <c r="F47" s="48">
        <v>3.8</v>
      </c>
      <c r="G47" s="48">
        <v>5.3</v>
      </c>
      <c r="H47" s="48">
        <v>7.9</v>
      </c>
      <c r="I47" s="48">
        <v>2.9</v>
      </c>
      <c r="J47" s="48">
        <v>28.3</v>
      </c>
      <c r="K47" s="48">
        <v>48.9</v>
      </c>
      <c r="L47" s="48">
        <v>10.7</v>
      </c>
    </row>
    <row r="48" spans="2:12" ht="15.75">
      <c r="B48" s="165"/>
      <c r="C48" s="157" t="s">
        <v>257</v>
      </c>
      <c r="D48" s="48">
        <v>8.6</v>
      </c>
      <c r="E48" s="48">
        <v>13.4</v>
      </c>
      <c r="F48" s="48">
        <v>4</v>
      </c>
      <c r="G48" s="48">
        <v>5.5</v>
      </c>
      <c r="H48" s="48">
        <v>8.1999999999999993</v>
      </c>
      <c r="I48" s="48">
        <v>2.9</v>
      </c>
      <c r="J48" s="48">
        <v>31.4</v>
      </c>
      <c r="K48" s="48">
        <v>54.5</v>
      </c>
      <c r="L48" s="48">
        <v>11.6</v>
      </c>
    </row>
    <row r="49" spans="2:12" ht="15.75">
      <c r="B49" s="156" t="s">
        <v>54</v>
      </c>
      <c r="C49" s="157" t="s">
        <v>258</v>
      </c>
      <c r="D49" s="48">
        <v>8.3000000000000007</v>
      </c>
      <c r="E49" s="48">
        <v>12.6</v>
      </c>
      <c r="F49" s="48">
        <v>4</v>
      </c>
      <c r="G49" s="48">
        <v>5.2</v>
      </c>
      <c r="H49" s="48">
        <v>7.6</v>
      </c>
      <c r="I49" s="48">
        <v>2.9</v>
      </c>
      <c r="J49" s="48">
        <v>30.7</v>
      </c>
      <c r="K49" s="48">
        <v>52.3</v>
      </c>
      <c r="L49" s="48">
        <v>12.1</v>
      </c>
    </row>
    <row r="50" spans="2:12" ht="15.75">
      <c r="B50" s="165" t="s">
        <v>55</v>
      </c>
      <c r="C50" s="157" t="s">
        <v>259</v>
      </c>
      <c r="D50" s="48">
        <v>8.5</v>
      </c>
      <c r="E50" s="48">
        <v>13.1</v>
      </c>
      <c r="F50" s="48">
        <v>4</v>
      </c>
      <c r="G50" s="48">
        <v>5.2</v>
      </c>
      <c r="H50" s="48">
        <v>7.6</v>
      </c>
      <c r="I50" s="48">
        <v>2.8</v>
      </c>
      <c r="J50" s="48">
        <v>32.6</v>
      </c>
      <c r="K50" s="48">
        <v>55.7</v>
      </c>
      <c r="L50" s="48">
        <v>12.4</v>
      </c>
    </row>
    <row r="51" spans="2:12">
      <c r="B51" s="11"/>
      <c r="C51" s="157" t="s">
        <v>260</v>
      </c>
      <c r="D51" s="48">
        <v>8.8000000000000007</v>
      </c>
      <c r="E51" s="48">
        <v>13.8</v>
      </c>
      <c r="F51" s="48">
        <v>4</v>
      </c>
      <c r="G51" s="48">
        <v>5.3</v>
      </c>
      <c r="H51" s="48">
        <v>7.8</v>
      </c>
      <c r="I51" s="48">
        <v>2.7</v>
      </c>
      <c r="J51" s="48">
        <v>33.799999999999997</v>
      </c>
      <c r="K51" s="48">
        <v>58.3</v>
      </c>
      <c r="L51" s="48">
        <v>12.3</v>
      </c>
    </row>
    <row r="52" spans="2:12">
      <c r="B52" s="11"/>
      <c r="C52" s="157" t="s">
        <v>167</v>
      </c>
      <c r="D52" s="48">
        <v>9.5</v>
      </c>
      <c r="E52" s="48">
        <v>15.1</v>
      </c>
      <c r="F52" s="48">
        <v>4</v>
      </c>
      <c r="G52" s="48">
        <v>5.6</v>
      </c>
      <c r="H52" s="48">
        <v>8.5</v>
      </c>
      <c r="I52" s="48">
        <v>2.7</v>
      </c>
      <c r="J52" s="48">
        <v>36.6</v>
      </c>
      <c r="K52" s="48">
        <v>63.8</v>
      </c>
      <c r="L52" s="48">
        <v>12.6</v>
      </c>
    </row>
    <row r="53" spans="2:12">
      <c r="B53" s="11"/>
      <c r="C53" s="157" t="s">
        <v>168</v>
      </c>
      <c r="D53" s="48">
        <v>10.1</v>
      </c>
      <c r="E53" s="48">
        <v>15.9</v>
      </c>
      <c r="F53" s="48">
        <v>4.3</v>
      </c>
      <c r="G53" s="48">
        <v>5.9</v>
      </c>
      <c r="H53" s="48">
        <v>8.9</v>
      </c>
      <c r="I53" s="48">
        <v>2.9</v>
      </c>
      <c r="J53" s="48">
        <v>38.5</v>
      </c>
      <c r="K53" s="48">
        <v>66.599999999999994</v>
      </c>
      <c r="L53" s="48">
        <v>13.3</v>
      </c>
    </row>
    <row r="54" spans="2:12">
      <c r="B54" s="11"/>
      <c r="C54" s="157">
        <v>1992</v>
      </c>
      <c r="D54" s="48">
        <v>9.6</v>
      </c>
      <c r="E54" s="48">
        <v>15.3</v>
      </c>
      <c r="F54" s="48">
        <v>4</v>
      </c>
      <c r="G54" s="48">
        <v>5.7</v>
      </c>
      <c r="H54" s="48">
        <v>8.6999999999999993</v>
      </c>
      <c r="I54" s="48">
        <v>2.7</v>
      </c>
      <c r="J54" s="48">
        <v>35.9</v>
      </c>
      <c r="K54" s="48">
        <v>62.3</v>
      </c>
      <c r="L54" s="48">
        <v>12.2</v>
      </c>
    </row>
    <row r="55" spans="2:12">
      <c r="B55" s="11"/>
      <c r="C55" s="158" t="s">
        <v>170</v>
      </c>
      <c r="D55" s="159">
        <v>9.8000000000000007</v>
      </c>
      <c r="E55" s="159">
        <v>15.4</v>
      </c>
      <c r="F55" s="159">
        <v>4.2</v>
      </c>
      <c r="G55" s="159">
        <v>5.6</v>
      </c>
      <c r="H55" s="159">
        <v>8.3000000000000007</v>
      </c>
      <c r="I55" s="159">
        <v>2.9</v>
      </c>
      <c r="J55" s="159">
        <v>37.200000000000003</v>
      </c>
      <c r="K55" s="159">
        <v>64.2</v>
      </c>
      <c r="L55" s="159">
        <v>12.7</v>
      </c>
    </row>
    <row r="56" spans="2:12">
      <c r="B56" s="166"/>
      <c r="C56" s="157">
        <v>1994</v>
      </c>
      <c r="D56" s="159">
        <v>9.4</v>
      </c>
      <c r="E56" s="167">
        <v>14.9</v>
      </c>
      <c r="F56" s="167">
        <v>3.9</v>
      </c>
      <c r="G56" s="167">
        <v>5.5</v>
      </c>
      <c r="H56" s="167">
        <v>8.3000000000000007</v>
      </c>
      <c r="I56" s="167">
        <v>2.6</v>
      </c>
      <c r="J56" s="167">
        <v>34.6</v>
      </c>
      <c r="K56" s="167">
        <v>59.8</v>
      </c>
      <c r="L56" s="167">
        <v>11.7</v>
      </c>
    </row>
    <row r="57" spans="2:12" s="14" customFormat="1">
      <c r="B57" s="166"/>
      <c r="C57" s="158" t="s">
        <v>56</v>
      </c>
      <c r="D57" s="159">
        <v>8.6</v>
      </c>
      <c r="E57" s="168">
        <v>13.3</v>
      </c>
      <c r="F57" s="168">
        <v>3.8</v>
      </c>
      <c r="G57" s="168">
        <v>5.2</v>
      </c>
      <c r="H57" s="168">
        <v>7.6</v>
      </c>
      <c r="I57" s="168">
        <v>2.7</v>
      </c>
      <c r="J57" s="168">
        <v>30.5</v>
      </c>
      <c r="K57" s="168">
        <v>52.3</v>
      </c>
      <c r="L57" s="168">
        <v>10.6</v>
      </c>
    </row>
    <row r="58" spans="2:12">
      <c r="B58" s="166"/>
      <c r="C58" s="158" t="s">
        <v>57</v>
      </c>
      <c r="D58" s="159">
        <v>7.8</v>
      </c>
      <c r="E58" s="168">
        <v>12.1</v>
      </c>
      <c r="F58" s="168">
        <v>3.5</v>
      </c>
      <c r="G58" s="168">
        <v>4.7</v>
      </c>
      <c r="H58" s="168">
        <v>6.8</v>
      </c>
      <c r="I58" s="168">
        <v>2.5</v>
      </c>
      <c r="J58" s="168">
        <v>27.8</v>
      </c>
      <c r="K58" s="168">
        <v>47.7</v>
      </c>
      <c r="L58" s="168">
        <v>9.8000000000000007</v>
      </c>
    </row>
    <row r="59" spans="2:12">
      <c r="B59" s="166"/>
      <c r="C59" s="158" t="s">
        <v>58</v>
      </c>
      <c r="D59" s="159">
        <v>7.3</v>
      </c>
      <c r="E59" s="168">
        <v>11.4</v>
      </c>
      <c r="F59" s="168">
        <v>3.2</v>
      </c>
      <c r="G59" s="168">
        <v>4.4000000000000004</v>
      </c>
      <c r="H59" s="168">
        <v>6.6</v>
      </c>
      <c r="I59" s="168">
        <v>2.2999999999999998</v>
      </c>
      <c r="J59" s="168">
        <v>25.5</v>
      </c>
      <c r="K59" s="168">
        <v>43.7</v>
      </c>
      <c r="L59" s="168">
        <v>8.9</v>
      </c>
    </row>
    <row r="60" spans="2:12">
      <c r="B60" s="166"/>
      <c r="C60" s="158" t="s">
        <v>59</v>
      </c>
      <c r="D60" s="168">
        <v>6.7</v>
      </c>
      <c r="E60" s="168">
        <v>10.3</v>
      </c>
      <c r="F60" s="168">
        <v>3.1</v>
      </c>
      <c r="G60" s="168">
        <v>4.0999999999999996</v>
      </c>
      <c r="H60" s="168">
        <v>6</v>
      </c>
      <c r="I60" s="168">
        <v>2.2000000000000002</v>
      </c>
      <c r="J60" s="168">
        <v>22.9</v>
      </c>
      <c r="K60" s="168">
        <v>39.1</v>
      </c>
      <c r="L60" s="168">
        <v>8.1999999999999993</v>
      </c>
    </row>
    <row r="61" spans="2:12">
      <c r="B61" s="166"/>
      <c r="C61" s="157">
        <v>1999</v>
      </c>
      <c r="D61" s="127">
        <v>6.2</v>
      </c>
      <c r="E61" s="168">
        <v>9.4</v>
      </c>
      <c r="F61" s="168">
        <v>2.9</v>
      </c>
      <c r="G61" s="168">
        <v>3.8</v>
      </c>
      <c r="H61" s="168">
        <v>5.5</v>
      </c>
      <c r="I61" s="168">
        <v>2.2000000000000002</v>
      </c>
      <c r="J61" s="168">
        <v>20.6</v>
      </c>
      <c r="K61" s="168">
        <v>34.9</v>
      </c>
      <c r="L61" s="168">
        <v>7.5</v>
      </c>
    </row>
    <row r="62" spans="2:12">
      <c r="B62" s="166"/>
      <c r="C62" s="8">
        <v>2000</v>
      </c>
      <c r="D62" s="127">
        <v>6.1</v>
      </c>
      <c r="E62" s="127">
        <v>9.3000000000000007</v>
      </c>
      <c r="F62" s="127">
        <v>2.8</v>
      </c>
      <c r="G62" s="127">
        <v>3.7</v>
      </c>
      <c r="H62" s="127">
        <v>5.3</v>
      </c>
      <c r="I62" s="127">
        <v>2.1</v>
      </c>
      <c r="J62" s="127">
        <v>21</v>
      </c>
      <c r="K62" s="127">
        <v>36.1</v>
      </c>
      <c r="L62" s="127">
        <v>7.2</v>
      </c>
    </row>
    <row r="63" spans="2:12">
      <c r="B63" s="166"/>
      <c r="C63" s="8">
        <v>2001</v>
      </c>
      <c r="D63" s="127">
        <v>7.1</v>
      </c>
      <c r="E63" s="127">
        <v>10.8</v>
      </c>
      <c r="F63" s="127">
        <v>3.3</v>
      </c>
      <c r="G63" s="127">
        <v>4.9000000000000004</v>
      </c>
      <c r="H63" s="127">
        <v>7.1</v>
      </c>
      <c r="I63" s="127">
        <v>2.6</v>
      </c>
      <c r="J63" s="127">
        <v>21.2</v>
      </c>
      <c r="K63" s="127">
        <v>36.200000000000003</v>
      </c>
      <c r="L63" s="127">
        <v>7.4</v>
      </c>
    </row>
    <row r="64" spans="2:12">
      <c r="B64" s="166"/>
      <c r="C64" s="8">
        <v>2002</v>
      </c>
      <c r="D64" s="127">
        <v>6.1</v>
      </c>
      <c r="E64" s="127">
        <v>9.4</v>
      </c>
      <c r="F64" s="127">
        <v>2.8</v>
      </c>
      <c r="G64" s="127">
        <v>3.7</v>
      </c>
      <c r="H64" s="127">
        <v>5.3</v>
      </c>
      <c r="I64" s="127">
        <v>2</v>
      </c>
      <c r="J64" s="127">
        <v>21</v>
      </c>
      <c r="K64" s="127">
        <v>36.4</v>
      </c>
      <c r="L64" s="127">
        <v>6.9</v>
      </c>
    </row>
    <row r="65" spans="2:12">
      <c r="B65" s="166"/>
      <c r="C65" s="8">
        <v>2003</v>
      </c>
      <c r="D65" s="127">
        <v>6</v>
      </c>
      <c r="E65" s="127">
        <v>9.4</v>
      </c>
      <c r="F65" s="127">
        <v>2.6</v>
      </c>
      <c r="G65" s="127">
        <v>3.7</v>
      </c>
      <c r="H65" s="127">
        <v>5.3</v>
      </c>
      <c r="I65" s="127">
        <v>2</v>
      </c>
      <c r="J65" s="127">
        <v>21</v>
      </c>
      <c r="K65" s="127">
        <v>36.700000000000003</v>
      </c>
      <c r="L65" s="127">
        <v>6.4</v>
      </c>
    </row>
    <row r="66" spans="2:12">
      <c r="B66" s="166"/>
      <c r="C66" s="8">
        <v>2004</v>
      </c>
      <c r="D66" s="127">
        <v>5.9</v>
      </c>
      <c r="E66" s="127">
        <v>9.1999999999999993</v>
      </c>
      <c r="F66" s="127">
        <v>2.5</v>
      </c>
      <c r="G66" s="127">
        <v>3.6</v>
      </c>
      <c r="H66" s="127">
        <v>5.3</v>
      </c>
      <c r="I66" s="127">
        <v>1.9</v>
      </c>
      <c r="J66" s="127">
        <v>20.100000000000001</v>
      </c>
      <c r="K66" s="127">
        <v>35.1</v>
      </c>
      <c r="L66" s="127">
        <v>6.3</v>
      </c>
    </row>
    <row r="67" spans="2:12">
      <c r="B67" s="166"/>
      <c r="C67" s="8">
        <v>2005</v>
      </c>
      <c r="D67" s="127">
        <v>6.1</v>
      </c>
      <c r="E67" s="127">
        <v>9.6</v>
      </c>
      <c r="F67" s="127">
        <v>2.5</v>
      </c>
      <c r="G67" s="127">
        <v>3.7</v>
      </c>
      <c r="H67" s="127">
        <v>5.3</v>
      </c>
      <c r="I67" s="127">
        <v>1.9</v>
      </c>
      <c r="J67" s="127">
        <v>21.1</v>
      </c>
      <c r="K67" s="127">
        <v>37.299999999999997</v>
      </c>
      <c r="L67" s="127">
        <v>6.1</v>
      </c>
    </row>
    <row r="68" spans="2:12">
      <c r="B68" s="166"/>
      <c r="C68" s="8">
        <v>2006</v>
      </c>
      <c r="D68" s="127">
        <v>6.2</v>
      </c>
      <c r="E68" s="127">
        <v>9.6999999999999993</v>
      </c>
      <c r="F68" s="127">
        <v>2.5</v>
      </c>
      <c r="G68" s="127">
        <v>3.7</v>
      </c>
      <c r="H68" s="127">
        <v>5.4</v>
      </c>
      <c r="I68" s="127">
        <v>1.9</v>
      </c>
      <c r="J68" s="127">
        <v>21.6</v>
      </c>
      <c r="K68" s="127">
        <v>37.799999999999997</v>
      </c>
      <c r="L68" s="127">
        <v>6.4</v>
      </c>
    </row>
    <row r="69" spans="2:12">
      <c r="B69" s="166"/>
      <c r="C69" s="8">
        <v>2007</v>
      </c>
      <c r="D69" s="127">
        <v>6.1</v>
      </c>
      <c r="E69" s="127">
        <v>9.6</v>
      </c>
      <c r="F69" s="127">
        <v>2.5</v>
      </c>
      <c r="G69" s="127">
        <v>3.7</v>
      </c>
      <c r="H69" s="127">
        <v>5.4</v>
      </c>
      <c r="I69" s="127">
        <v>2</v>
      </c>
      <c r="J69" s="127">
        <v>21.1</v>
      </c>
      <c r="K69" s="127">
        <v>37.1</v>
      </c>
      <c r="L69" s="127">
        <v>6.1</v>
      </c>
    </row>
    <row r="70" spans="2:12">
      <c r="B70" s="166"/>
      <c r="C70" s="8">
        <v>2008</v>
      </c>
      <c r="D70" s="127">
        <v>5.9</v>
      </c>
      <c r="E70" s="127">
        <v>9.3000000000000007</v>
      </c>
      <c r="F70" s="127">
        <v>2.4</v>
      </c>
      <c r="G70" s="127">
        <v>3.7</v>
      </c>
      <c r="H70" s="127">
        <v>5.4</v>
      </c>
      <c r="I70" s="127">
        <v>1.9</v>
      </c>
      <c r="J70" s="127">
        <v>19.5</v>
      </c>
      <c r="K70" s="127">
        <v>34.4</v>
      </c>
      <c r="L70" s="127">
        <v>5.5</v>
      </c>
    </row>
    <row r="71" spans="2:12">
      <c r="B71" s="166"/>
      <c r="C71" s="8">
        <v>2009</v>
      </c>
      <c r="D71" s="127">
        <v>5.5</v>
      </c>
      <c r="E71" s="127">
        <v>8.6</v>
      </c>
      <c r="F71" s="127">
        <v>2.4</v>
      </c>
      <c r="G71" s="127">
        <v>3.4</v>
      </c>
      <c r="H71" s="127">
        <v>4.9000000000000004</v>
      </c>
      <c r="I71" s="127">
        <v>1.9</v>
      </c>
      <c r="J71" s="127">
        <v>18.2</v>
      </c>
      <c r="K71" s="127">
        <v>31.9</v>
      </c>
      <c r="L71" s="127">
        <v>5.3</v>
      </c>
    </row>
    <row r="72" spans="2:12">
      <c r="B72" s="166"/>
      <c r="C72" s="8">
        <v>2010</v>
      </c>
      <c r="D72" s="127">
        <v>5.3</v>
      </c>
      <c r="E72" s="127">
        <v>8.4</v>
      </c>
      <c r="F72" s="127">
        <v>2.2999999999999998</v>
      </c>
      <c r="G72" s="127">
        <v>3.3</v>
      </c>
      <c r="H72" s="127">
        <v>4.7</v>
      </c>
      <c r="I72" s="127">
        <v>1.8</v>
      </c>
      <c r="J72" s="127">
        <v>17.7</v>
      </c>
      <c r="K72" s="127">
        <v>31.5</v>
      </c>
      <c r="L72" s="127">
        <v>5</v>
      </c>
    </row>
    <row r="73" spans="2:12">
      <c r="B73" s="166"/>
      <c r="C73" s="8">
        <v>2011</v>
      </c>
      <c r="D73" s="127">
        <v>5.3</v>
      </c>
      <c r="E73" s="127">
        <v>8.3000000000000007</v>
      </c>
      <c r="F73" s="127">
        <v>2.2000000000000002</v>
      </c>
      <c r="G73" s="127">
        <v>3.2</v>
      </c>
      <c r="H73" s="127">
        <v>4.5999999999999996</v>
      </c>
      <c r="I73" s="127">
        <v>1.8</v>
      </c>
      <c r="J73" s="127">
        <v>17.600000000000001</v>
      </c>
      <c r="K73" s="127">
        <v>31.2</v>
      </c>
      <c r="L73" s="127">
        <v>4.9000000000000004</v>
      </c>
    </row>
    <row r="74" spans="2:12">
      <c r="B74" s="166"/>
      <c r="C74" s="8">
        <v>2012</v>
      </c>
      <c r="D74" s="127">
        <v>5.4</v>
      </c>
      <c r="E74" s="127">
        <v>8.5</v>
      </c>
      <c r="F74" s="127">
        <v>2.2000000000000002</v>
      </c>
      <c r="G74" s="127">
        <v>3.2</v>
      </c>
      <c r="H74" s="127">
        <v>4.5999999999999996</v>
      </c>
      <c r="I74" s="127">
        <v>1.8</v>
      </c>
      <c r="J74" s="127">
        <v>18.399999999999999</v>
      </c>
      <c r="K74" s="127">
        <v>32.799999999999997</v>
      </c>
      <c r="L74" s="127">
        <v>4.9000000000000004</v>
      </c>
    </row>
    <row r="75" spans="2:12">
      <c r="B75" s="171"/>
      <c r="C75" s="6"/>
      <c r="D75" s="175"/>
      <c r="E75" s="175"/>
      <c r="F75" s="175"/>
      <c r="G75" s="175"/>
      <c r="H75" s="175"/>
      <c r="I75" s="175"/>
      <c r="J75" s="175"/>
      <c r="K75" s="175"/>
      <c r="L75" s="175"/>
    </row>
    <row r="76" spans="2:12" ht="29.25" customHeight="1">
      <c r="B76" s="347" t="s">
        <v>613</v>
      </c>
      <c r="C76" s="348"/>
      <c r="D76" s="348"/>
      <c r="E76" s="348"/>
      <c r="F76" s="348"/>
      <c r="G76" s="348"/>
      <c r="H76" s="348"/>
      <c r="I76" s="348"/>
      <c r="J76" s="348"/>
      <c r="K76" s="348"/>
      <c r="L76" s="348"/>
    </row>
    <row r="77" spans="2:12" ht="57.75" customHeight="1">
      <c r="B77" s="347" t="s">
        <v>60</v>
      </c>
      <c r="C77" s="348"/>
      <c r="D77" s="348"/>
      <c r="E77" s="348"/>
      <c r="F77" s="348"/>
      <c r="G77" s="348"/>
      <c r="H77" s="348"/>
      <c r="I77" s="348"/>
      <c r="J77" s="348"/>
      <c r="K77" s="348"/>
      <c r="L77" s="348"/>
    </row>
    <row r="78" spans="2:12" ht="83.25" customHeight="1">
      <c r="B78" s="347" t="s">
        <v>130</v>
      </c>
      <c r="C78" s="348"/>
      <c r="D78" s="348"/>
      <c r="E78" s="348"/>
      <c r="F78" s="348"/>
      <c r="G78" s="348"/>
      <c r="H78" s="348"/>
      <c r="I78" s="348"/>
      <c r="J78" s="348"/>
      <c r="K78" s="348"/>
      <c r="L78" s="348"/>
    </row>
    <row r="79" spans="2:12" ht="26.2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125</v>
      </c>
      <c r="C2" s="4"/>
      <c r="D2" s="4"/>
      <c r="E2" s="4"/>
      <c r="F2" s="4"/>
      <c r="G2" s="4"/>
      <c r="H2" s="4"/>
      <c r="I2" s="4"/>
      <c r="J2" s="4"/>
      <c r="K2" s="4"/>
      <c r="L2" s="4"/>
    </row>
    <row r="3" spans="1:12" ht="15.75">
      <c r="B3" s="5" t="s">
        <v>126</v>
      </c>
      <c r="C3" s="4"/>
      <c r="D3" s="4"/>
      <c r="E3" s="4"/>
      <c r="F3" s="4"/>
      <c r="G3" s="4"/>
      <c r="H3" s="4"/>
      <c r="I3" s="4"/>
      <c r="J3" s="4"/>
      <c r="K3" s="4"/>
      <c r="L3" s="4"/>
    </row>
    <row r="4" spans="1:12">
      <c r="B4" s="3" t="s">
        <v>578</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ht="15.75">
      <c r="B7" s="156"/>
      <c r="C7" s="157" t="s">
        <v>258</v>
      </c>
      <c r="D7" s="174">
        <v>1.7</v>
      </c>
      <c r="E7" s="174">
        <v>3.2</v>
      </c>
      <c r="F7" s="191" t="s">
        <v>292</v>
      </c>
      <c r="G7" s="174">
        <v>1.2</v>
      </c>
      <c r="H7" s="174">
        <v>2.2999999999999998</v>
      </c>
      <c r="I7" s="191" t="s">
        <v>292</v>
      </c>
      <c r="J7" s="174">
        <v>5.3</v>
      </c>
      <c r="K7" s="174">
        <v>10.6</v>
      </c>
      <c r="L7" s="191" t="s">
        <v>292</v>
      </c>
    </row>
    <row r="8" spans="1:12">
      <c r="B8" s="11"/>
      <c r="C8" s="157" t="s">
        <v>259</v>
      </c>
      <c r="D8" s="160">
        <v>2.4</v>
      </c>
      <c r="E8" s="160">
        <v>4.5</v>
      </c>
      <c r="F8" s="170">
        <v>0.5</v>
      </c>
      <c r="G8" s="160">
        <v>1.5</v>
      </c>
      <c r="H8" s="160">
        <v>3.1</v>
      </c>
      <c r="I8" s="170" t="s">
        <v>292</v>
      </c>
      <c r="J8" s="160">
        <v>8.8000000000000007</v>
      </c>
      <c r="K8" s="160">
        <v>15.4</v>
      </c>
      <c r="L8" s="160">
        <v>3.2</v>
      </c>
    </row>
    <row r="9" spans="1:12">
      <c r="B9" s="11"/>
      <c r="C9" s="157" t="s">
        <v>260</v>
      </c>
      <c r="D9" s="160">
        <v>3.6</v>
      </c>
      <c r="E9" s="160">
        <v>6.7</v>
      </c>
      <c r="F9" s="170">
        <v>0.6</v>
      </c>
      <c r="G9" s="160">
        <v>2.2000000000000002</v>
      </c>
      <c r="H9" s="160">
        <v>4.3</v>
      </c>
      <c r="I9" s="170" t="s">
        <v>292</v>
      </c>
      <c r="J9" s="160">
        <v>12.8</v>
      </c>
      <c r="K9" s="160">
        <v>24.4</v>
      </c>
      <c r="L9" s="160">
        <v>3.3</v>
      </c>
    </row>
    <row r="10" spans="1:12">
      <c r="B10" s="11"/>
      <c r="C10" s="157" t="s">
        <v>167</v>
      </c>
      <c r="D10" s="160">
        <v>4</v>
      </c>
      <c r="E10" s="160">
        <v>7.1</v>
      </c>
      <c r="F10" s="170">
        <v>1</v>
      </c>
      <c r="G10" s="160">
        <v>2.5</v>
      </c>
      <c r="H10" s="160">
        <v>4.7</v>
      </c>
      <c r="I10" s="170" t="s">
        <v>292</v>
      </c>
      <c r="J10" s="160">
        <v>14.5</v>
      </c>
      <c r="K10" s="160">
        <v>25.8</v>
      </c>
      <c r="L10" s="160">
        <v>5.3</v>
      </c>
    </row>
    <row r="11" spans="1:12" ht="15.75">
      <c r="B11" s="156" t="s">
        <v>52</v>
      </c>
      <c r="C11" s="157" t="s">
        <v>168</v>
      </c>
      <c r="D11" s="160">
        <v>5</v>
      </c>
      <c r="E11" s="160">
        <v>9</v>
      </c>
      <c r="F11" s="170">
        <v>1.1000000000000001</v>
      </c>
      <c r="G11" s="160">
        <v>3.2</v>
      </c>
      <c r="H11" s="160">
        <v>6.1</v>
      </c>
      <c r="I11" s="170" t="s">
        <v>292</v>
      </c>
      <c r="J11" s="160">
        <v>17.5</v>
      </c>
      <c r="K11" s="160">
        <v>31.1</v>
      </c>
      <c r="L11" s="160">
        <v>6.1</v>
      </c>
    </row>
    <row r="12" spans="1:12">
      <c r="B12" s="11"/>
      <c r="C12" s="157" t="s">
        <v>169</v>
      </c>
      <c r="D12" s="160">
        <v>6</v>
      </c>
      <c r="E12" s="160">
        <v>10.9</v>
      </c>
      <c r="F12" s="170">
        <v>1.4</v>
      </c>
      <c r="G12" s="160">
        <v>3.7</v>
      </c>
      <c r="H12" s="160">
        <v>7</v>
      </c>
      <c r="I12" s="170" t="s">
        <v>292</v>
      </c>
      <c r="J12" s="160">
        <v>21.9</v>
      </c>
      <c r="K12" s="160">
        <v>39.700000000000003</v>
      </c>
      <c r="L12" s="160">
        <v>7.1</v>
      </c>
    </row>
    <row r="13" spans="1:12">
      <c r="B13" s="11"/>
      <c r="C13" s="157" t="s">
        <v>170</v>
      </c>
      <c r="D13" s="160">
        <v>7.2</v>
      </c>
      <c r="E13" s="160">
        <v>12.7</v>
      </c>
      <c r="F13" s="160">
        <v>1.9</v>
      </c>
      <c r="G13" s="160">
        <v>4.3</v>
      </c>
      <c r="H13" s="160">
        <v>8</v>
      </c>
      <c r="I13" s="170">
        <v>0.6</v>
      </c>
      <c r="J13" s="160">
        <v>26.6</v>
      </c>
      <c r="K13" s="160">
        <v>46.7</v>
      </c>
      <c r="L13" s="160">
        <v>9.6999999999999993</v>
      </c>
    </row>
    <row r="14" spans="1:12">
      <c r="B14" s="11"/>
      <c r="C14" s="157">
        <v>1994</v>
      </c>
      <c r="D14" s="160">
        <v>7.8</v>
      </c>
      <c r="E14" s="160">
        <v>14</v>
      </c>
      <c r="F14" s="170">
        <v>1.9</v>
      </c>
      <c r="G14" s="160">
        <v>4.3</v>
      </c>
      <c r="H14" s="160">
        <v>8.1999999999999993</v>
      </c>
      <c r="I14" s="170" t="s">
        <v>292</v>
      </c>
      <c r="J14" s="160">
        <v>31.3</v>
      </c>
      <c r="K14" s="160">
        <v>55.7</v>
      </c>
      <c r="L14" s="160">
        <v>10.8</v>
      </c>
    </row>
    <row r="15" spans="1:12">
      <c r="B15" s="11"/>
      <c r="C15" s="157">
        <v>1995</v>
      </c>
      <c r="D15" s="160">
        <v>8.1</v>
      </c>
      <c r="E15" s="160">
        <v>14.3</v>
      </c>
      <c r="F15" s="160">
        <v>2.1</v>
      </c>
      <c r="G15" s="160">
        <v>4.2</v>
      </c>
      <c r="H15" s="160">
        <v>7.7</v>
      </c>
      <c r="I15" s="170">
        <v>0.8</v>
      </c>
      <c r="J15" s="160">
        <v>33.9</v>
      </c>
      <c r="K15" s="160">
        <v>62.5</v>
      </c>
      <c r="L15" s="160">
        <v>9.9</v>
      </c>
    </row>
    <row r="16" spans="1:12">
      <c r="B16" s="11"/>
      <c r="C16" s="157">
        <v>1996</v>
      </c>
      <c r="D16" s="160">
        <v>5.2</v>
      </c>
      <c r="E16" s="160">
        <v>8.9</v>
      </c>
      <c r="F16" s="160">
        <v>1.5</v>
      </c>
      <c r="G16" s="160">
        <v>3</v>
      </c>
      <c r="H16" s="160">
        <v>5.3</v>
      </c>
      <c r="I16" s="170">
        <v>0.6</v>
      </c>
      <c r="J16" s="160">
        <v>19.8</v>
      </c>
      <c r="K16" s="160">
        <v>35.299999999999997</v>
      </c>
      <c r="L16" s="160">
        <v>6.7</v>
      </c>
    </row>
    <row r="17" spans="2:12">
      <c r="B17" s="11"/>
      <c r="C17" s="157">
        <v>1997</v>
      </c>
      <c r="D17" s="160">
        <v>3.2</v>
      </c>
      <c r="E17" s="160">
        <v>5.4</v>
      </c>
      <c r="F17" s="170">
        <v>1.1000000000000001</v>
      </c>
      <c r="G17" s="160">
        <v>1.5</v>
      </c>
      <c r="H17" s="160">
        <v>2.5</v>
      </c>
      <c r="I17" s="170" t="s">
        <v>292</v>
      </c>
      <c r="J17" s="160">
        <v>14.6</v>
      </c>
      <c r="K17" s="160">
        <v>25.9</v>
      </c>
      <c r="L17" s="160">
        <v>5.0999999999999996</v>
      </c>
    </row>
    <row r="18" spans="2:12">
      <c r="B18" s="11"/>
      <c r="C18" s="157">
        <v>1998</v>
      </c>
      <c r="D18" s="160">
        <v>2.7</v>
      </c>
      <c r="E18" s="160">
        <v>4.5</v>
      </c>
      <c r="F18" s="170">
        <v>1</v>
      </c>
      <c r="G18" s="160">
        <v>1.2</v>
      </c>
      <c r="H18" s="160">
        <v>2.2000000000000002</v>
      </c>
      <c r="I18" s="170" t="s">
        <v>292</v>
      </c>
      <c r="J18" s="160">
        <v>12.7</v>
      </c>
      <c r="K18" s="160">
        <v>21.1</v>
      </c>
      <c r="L18" s="160">
        <v>5.6</v>
      </c>
    </row>
    <row r="19" spans="2:12">
      <c r="B19" s="11"/>
      <c r="C19" s="157">
        <v>1999</v>
      </c>
      <c r="D19" s="160">
        <v>2.4</v>
      </c>
      <c r="E19" s="160">
        <v>3.9</v>
      </c>
      <c r="F19" s="170">
        <v>0.9</v>
      </c>
      <c r="G19" s="160">
        <v>0.9</v>
      </c>
      <c r="H19" s="160">
        <v>1.6</v>
      </c>
      <c r="I19" s="170" t="s">
        <v>292</v>
      </c>
      <c r="J19" s="160">
        <v>12</v>
      </c>
      <c r="K19" s="160">
        <v>21</v>
      </c>
      <c r="L19" s="160">
        <v>4.5999999999999996</v>
      </c>
    </row>
    <row r="20" spans="2:12">
      <c r="B20" s="11"/>
      <c r="C20" s="157">
        <v>2000</v>
      </c>
      <c r="D20" s="160">
        <v>2.5</v>
      </c>
      <c r="E20" s="160">
        <v>3.9</v>
      </c>
      <c r="F20" s="170">
        <v>1.1000000000000001</v>
      </c>
      <c r="G20" s="160">
        <v>1</v>
      </c>
      <c r="H20" s="160">
        <v>1.7</v>
      </c>
      <c r="I20" s="170" t="s">
        <v>292</v>
      </c>
      <c r="J20" s="160">
        <v>12.1</v>
      </c>
      <c r="K20" s="160">
        <v>19.899999999999999</v>
      </c>
      <c r="L20" s="160">
        <v>5.5</v>
      </c>
    </row>
    <row r="21" spans="2:12">
      <c r="B21" s="11"/>
      <c r="C21" s="8">
        <v>2001</v>
      </c>
      <c r="D21" s="160">
        <v>2.5</v>
      </c>
      <c r="E21" s="160">
        <v>4</v>
      </c>
      <c r="F21" s="170">
        <v>1.1000000000000001</v>
      </c>
      <c r="G21" s="160">
        <v>0.9</v>
      </c>
      <c r="H21" s="160">
        <v>1.5</v>
      </c>
      <c r="I21" s="170" t="s">
        <v>292</v>
      </c>
      <c r="J21" s="160">
        <v>12.8</v>
      </c>
      <c r="K21" s="160">
        <v>21.3</v>
      </c>
      <c r="L21" s="160">
        <v>5.7</v>
      </c>
    </row>
    <row r="22" spans="2:12">
      <c r="B22" s="11"/>
      <c r="C22" s="157">
        <v>2002</v>
      </c>
      <c r="D22" s="159">
        <v>2.4</v>
      </c>
      <c r="E22" s="159">
        <v>3.6</v>
      </c>
      <c r="F22" s="169">
        <v>1.1000000000000001</v>
      </c>
      <c r="G22" s="159">
        <v>0.9</v>
      </c>
      <c r="H22" s="159">
        <v>1.5</v>
      </c>
      <c r="I22" s="170" t="s">
        <v>292</v>
      </c>
      <c r="J22" s="159">
        <v>11.7</v>
      </c>
      <c r="K22" s="159">
        <v>18.8</v>
      </c>
      <c r="L22" s="159">
        <v>5.8</v>
      </c>
    </row>
    <row r="23" spans="2:12">
      <c r="B23" s="11"/>
      <c r="C23" s="157">
        <v>2003</v>
      </c>
      <c r="D23" s="159">
        <v>2.4</v>
      </c>
      <c r="E23" s="159">
        <v>3.8</v>
      </c>
      <c r="F23" s="169">
        <v>1</v>
      </c>
      <c r="G23" s="159">
        <v>1</v>
      </c>
      <c r="H23" s="159">
        <v>1.7</v>
      </c>
      <c r="I23" s="170" t="s">
        <v>292</v>
      </c>
      <c r="J23" s="159">
        <v>11.5</v>
      </c>
      <c r="K23" s="159">
        <v>18.5</v>
      </c>
      <c r="L23" s="159">
        <v>5.6</v>
      </c>
    </row>
    <row r="24" spans="2:12">
      <c r="B24" s="11"/>
      <c r="C24" s="157">
        <v>2004</v>
      </c>
      <c r="D24" s="159">
        <v>2.1</v>
      </c>
      <c r="E24" s="159">
        <v>3.1</v>
      </c>
      <c r="F24" s="169">
        <v>1.2</v>
      </c>
      <c r="G24" s="159">
        <v>0.8</v>
      </c>
      <c r="H24" s="159">
        <v>1.4</v>
      </c>
      <c r="I24" s="170" t="s">
        <v>292</v>
      </c>
      <c r="J24" s="159">
        <v>10.199999999999999</v>
      </c>
      <c r="K24" s="159">
        <v>14.6</v>
      </c>
      <c r="L24" s="159">
        <v>6.3</v>
      </c>
    </row>
    <row r="25" spans="2:12">
      <c r="B25" s="11"/>
      <c r="C25" s="157">
        <v>2005</v>
      </c>
      <c r="D25" s="159">
        <v>2.2000000000000002</v>
      </c>
      <c r="E25" s="159">
        <v>3.3</v>
      </c>
      <c r="F25" s="169">
        <v>1.1000000000000001</v>
      </c>
      <c r="G25" s="159">
        <v>0.9</v>
      </c>
      <c r="H25" s="159">
        <v>1.4</v>
      </c>
      <c r="I25" s="170" t="s">
        <v>292</v>
      </c>
      <c r="J25" s="159">
        <v>10</v>
      </c>
      <c r="K25" s="159">
        <v>15.8</v>
      </c>
      <c r="L25" s="159">
        <v>5.0999999999999996</v>
      </c>
    </row>
    <row r="26" spans="2:12">
      <c r="B26" s="11"/>
      <c r="C26" s="157">
        <v>2006</v>
      </c>
      <c r="D26" s="159">
        <v>1.8</v>
      </c>
      <c r="E26" s="159">
        <v>2.7</v>
      </c>
      <c r="F26" s="169">
        <v>0.9</v>
      </c>
      <c r="G26" s="159">
        <v>0.5</v>
      </c>
      <c r="H26" s="159">
        <v>0.8</v>
      </c>
      <c r="I26" s="170" t="s">
        <v>292</v>
      </c>
      <c r="J26" s="159">
        <v>10.199999999999999</v>
      </c>
      <c r="K26" s="159">
        <v>15.7</v>
      </c>
      <c r="L26" s="159">
        <v>5.6</v>
      </c>
    </row>
    <row r="27" spans="2:12">
      <c r="B27" s="11"/>
      <c r="C27" s="157">
        <v>2007</v>
      </c>
      <c r="D27" s="159">
        <v>1.8</v>
      </c>
      <c r="E27" s="159">
        <v>2.9</v>
      </c>
      <c r="F27" s="169">
        <v>0.9</v>
      </c>
      <c r="G27" s="159">
        <v>0.7</v>
      </c>
      <c r="H27" s="159">
        <v>1.3</v>
      </c>
      <c r="I27" s="170" t="s">
        <v>292</v>
      </c>
      <c r="J27" s="159">
        <v>8.6</v>
      </c>
      <c r="K27" s="159">
        <v>12.8</v>
      </c>
      <c r="L27" s="159">
        <v>5</v>
      </c>
    </row>
    <row r="28" spans="2:12">
      <c r="B28" s="11"/>
      <c r="C28" s="157">
        <v>2008</v>
      </c>
      <c r="D28" s="159">
        <v>1.9</v>
      </c>
      <c r="E28" s="159">
        <v>2.6</v>
      </c>
      <c r="F28" s="169">
        <v>1.1000000000000001</v>
      </c>
      <c r="G28" s="159">
        <v>0.8</v>
      </c>
      <c r="H28" s="159">
        <v>1.1000000000000001</v>
      </c>
      <c r="I28" s="170">
        <v>0.5</v>
      </c>
      <c r="J28" s="159">
        <v>8.5</v>
      </c>
      <c r="K28" s="159">
        <v>13.5</v>
      </c>
      <c r="L28" s="159">
        <v>4.4000000000000004</v>
      </c>
    </row>
    <row r="29" spans="2:12">
      <c r="B29" s="11"/>
      <c r="C29" s="157">
        <v>2009</v>
      </c>
      <c r="D29" s="159">
        <v>1.3</v>
      </c>
      <c r="E29" s="159">
        <v>2.1</v>
      </c>
      <c r="F29" s="169">
        <v>0.6</v>
      </c>
      <c r="G29" s="159">
        <v>0.5</v>
      </c>
      <c r="H29" s="159">
        <v>0.8</v>
      </c>
      <c r="I29" s="170" t="s">
        <v>292</v>
      </c>
      <c r="J29" s="159">
        <v>7</v>
      </c>
      <c r="K29" s="159">
        <v>10.7</v>
      </c>
      <c r="L29" s="159">
        <v>3.7</v>
      </c>
    </row>
    <row r="30" spans="2:12">
      <c r="B30" s="11"/>
      <c r="C30" s="157">
        <v>2010</v>
      </c>
      <c r="D30" s="159">
        <v>1.5</v>
      </c>
      <c r="E30" s="159">
        <v>2.2000000000000002</v>
      </c>
      <c r="F30" s="169">
        <v>0.8</v>
      </c>
      <c r="G30" s="159">
        <v>0.6</v>
      </c>
      <c r="H30" s="159">
        <v>1</v>
      </c>
      <c r="I30" s="170" t="s">
        <v>292</v>
      </c>
      <c r="J30" s="159">
        <v>6.6</v>
      </c>
      <c r="K30" s="159">
        <v>9.4</v>
      </c>
      <c r="L30" s="159">
        <v>4.2</v>
      </c>
    </row>
    <row r="31" spans="2:12">
      <c r="B31" s="11"/>
      <c r="C31" s="157">
        <v>2011</v>
      </c>
      <c r="D31" s="159">
        <v>1.2</v>
      </c>
      <c r="E31" s="159">
        <v>1.8</v>
      </c>
      <c r="F31" s="169">
        <v>0.6</v>
      </c>
      <c r="G31" s="159">
        <v>0.5</v>
      </c>
      <c r="H31" s="159">
        <v>0.9</v>
      </c>
      <c r="I31" s="170" t="s">
        <v>292</v>
      </c>
      <c r="J31" s="159">
        <v>5</v>
      </c>
      <c r="K31" s="159">
        <v>7.7</v>
      </c>
      <c r="L31" s="159">
        <v>2.8</v>
      </c>
    </row>
    <row r="32" spans="2:12">
      <c r="B32" s="11"/>
      <c r="C32" s="157">
        <v>2012</v>
      </c>
      <c r="D32" s="159">
        <v>1.3</v>
      </c>
      <c r="E32" s="159">
        <v>2.2000000000000002</v>
      </c>
      <c r="F32" s="169">
        <v>0.5</v>
      </c>
      <c r="G32" s="159">
        <v>0.5</v>
      </c>
      <c r="H32" s="159">
        <v>0.9</v>
      </c>
      <c r="I32" s="170" t="s">
        <v>292</v>
      </c>
      <c r="J32" s="159">
        <v>6.4</v>
      </c>
      <c r="K32" s="159">
        <v>11.4</v>
      </c>
      <c r="L32" s="170" t="s">
        <v>292</v>
      </c>
    </row>
    <row r="33" spans="2:12">
      <c r="B33" s="11"/>
      <c r="C33" s="157">
        <v>2013</v>
      </c>
      <c r="D33" s="159">
        <v>1.2</v>
      </c>
      <c r="E33" s="159">
        <v>1.9</v>
      </c>
      <c r="F33" s="169">
        <v>0.5</v>
      </c>
      <c r="G33" s="159">
        <v>0.4</v>
      </c>
      <c r="H33" s="159">
        <v>0.7</v>
      </c>
      <c r="I33" s="170" t="s">
        <v>292</v>
      </c>
      <c r="J33" s="159">
        <v>5.8</v>
      </c>
      <c r="K33" s="159">
        <v>9.5</v>
      </c>
      <c r="L33" s="169">
        <v>2.6</v>
      </c>
    </row>
    <row r="34" spans="2:12">
      <c r="B34" s="11"/>
      <c r="C34" s="157"/>
      <c r="D34" s="159"/>
      <c r="E34" s="159"/>
      <c r="F34" s="169"/>
      <c r="G34" s="159"/>
      <c r="H34" s="159"/>
      <c r="I34" s="192"/>
      <c r="J34" s="159"/>
      <c r="K34" s="159"/>
      <c r="L34" s="159"/>
    </row>
    <row r="35" spans="2:12" ht="15.75">
      <c r="B35" s="162"/>
      <c r="C35" s="163" t="s">
        <v>258</v>
      </c>
      <c r="D35" s="164">
        <v>5.6</v>
      </c>
      <c r="E35" s="164">
        <v>10.4</v>
      </c>
      <c r="F35" s="164">
        <v>1.1000000000000001</v>
      </c>
      <c r="G35" s="164">
        <v>4.5999999999999996</v>
      </c>
      <c r="H35" s="164">
        <v>8.6999999999999993</v>
      </c>
      <c r="I35" s="164">
        <v>0.6</v>
      </c>
      <c r="J35" s="164">
        <v>14.6</v>
      </c>
      <c r="K35" s="164">
        <v>26.2</v>
      </c>
      <c r="L35" s="164">
        <v>4.5999999999999996</v>
      </c>
    </row>
    <row r="36" spans="2:12" ht="15.75">
      <c r="B36" s="165"/>
      <c r="C36" s="157" t="s">
        <v>259</v>
      </c>
      <c r="D36" s="48">
        <v>6.9</v>
      </c>
      <c r="E36" s="48">
        <v>12.6</v>
      </c>
      <c r="F36" s="48">
        <v>1.4</v>
      </c>
      <c r="G36" s="48">
        <v>5.5</v>
      </c>
      <c r="H36" s="48">
        <v>10.4</v>
      </c>
      <c r="I36" s="48">
        <v>0.7</v>
      </c>
      <c r="J36" s="48">
        <v>18.399999999999999</v>
      </c>
      <c r="K36" s="48">
        <v>32.799999999999997</v>
      </c>
      <c r="L36" s="48">
        <v>6.2</v>
      </c>
    </row>
    <row r="37" spans="2:12">
      <c r="B37" s="11"/>
      <c r="C37" s="157" t="s">
        <v>260</v>
      </c>
      <c r="D37" s="48">
        <v>9</v>
      </c>
      <c r="E37" s="48">
        <v>16.5</v>
      </c>
      <c r="F37" s="48">
        <v>1.8</v>
      </c>
      <c r="G37" s="48">
        <v>7.3</v>
      </c>
      <c r="H37" s="48">
        <v>13.8</v>
      </c>
      <c r="I37" s="48">
        <v>0.9</v>
      </c>
      <c r="J37" s="48">
        <v>23.8</v>
      </c>
      <c r="K37" s="48">
        <v>42.1</v>
      </c>
      <c r="L37" s="48">
        <v>8.1999999999999993</v>
      </c>
    </row>
    <row r="38" spans="2:12" ht="15.75">
      <c r="B38" s="156" t="s">
        <v>54</v>
      </c>
      <c r="C38" s="157" t="s">
        <v>167</v>
      </c>
      <c r="D38" s="48">
        <v>10.199999999999999</v>
      </c>
      <c r="E38" s="48">
        <v>18.5</v>
      </c>
      <c r="F38" s="48">
        <v>2.2000000000000002</v>
      </c>
      <c r="G38" s="48">
        <v>8.3000000000000007</v>
      </c>
      <c r="H38" s="48">
        <v>15.7</v>
      </c>
      <c r="I38" s="48">
        <v>1.1000000000000001</v>
      </c>
      <c r="J38" s="48">
        <v>26.7</v>
      </c>
      <c r="K38" s="48">
        <v>46.3</v>
      </c>
      <c r="L38" s="48">
        <v>10.1</v>
      </c>
    </row>
    <row r="39" spans="2:12" ht="15.75">
      <c r="B39" s="165" t="s">
        <v>55</v>
      </c>
      <c r="C39" s="157" t="s">
        <v>168</v>
      </c>
      <c r="D39" s="48">
        <v>11.8</v>
      </c>
      <c r="E39" s="48">
        <v>21.1</v>
      </c>
      <c r="F39" s="48">
        <v>2.7</v>
      </c>
      <c r="G39" s="48">
        <v>9.4</v>
      </c>
      <c r="H39" s="48">
        <v>17.5</v>
      </c>
      <c r="I39" s="48">
        <v>1.4</v>
      </c>
      <c r="J39" s="48">
        <v>32.299999999999997</v>
      </c>
      <c r="K39" s="48">
        <v>56.1</v>
      </c>
      <c r="L39" s="48">
        <v>12.2</v>
      </c>
    </row>
    <row r="40" spans="2:12">
      <c r="B40" s="11"/>
      <c r="C40" s="157">
        <v>1992</v>
      </c>
      <c r="D40" s="48">
        <v>13.2</v>
      </c>
      <c r="E40" s="48">
        <v>23.5</v>
      </c>
      <c r="F40" s="48">
        <v>3.2</v>
      </c>
      <c r="G40" s="48">
        <v>10.3</v>
      </c>
      <c r="H40" s="48">
        <v>19</v>
      </c>
      <c r="I40" s="48">
        <v>1.6</v>
      </c>
      <c r="J40" s="48">
        <v>38.1</v>
      </c>
      <c r="K40" s="48">
        <v>65.5</v>
      </c>
      <c r="L40" s="48">
        <v>14.8</v>
      </c>
    </row>
    <row r="41" spans="2:12">
      <c r="B41" s="11"/>
      <c r="C41" s="158" t="s">
        <v>170</v>
      </c>
      <c r="D41" s="159">
        <v>14.5</v>
      </c>
      <c r="E41" s="159">
        <v>25.4</v>
      </c>
      <c r="F41" s="159">
        <v>3.9</v>
      </c>
      <c r="G41" s="159">
        <v>10.9</v>
      </c>
      <c r="H41" s="159">
        <v>20</v>
      </c>
      <c r="I41" s="159">
        <v>1.9</v>
      </c>
      <c r="J41" s="159">
        <v>43.8</v>
      </c>
      <c r="K41" s="159">
        <v>74.5</v>
      </c>
      <c r="L41" s="159">
        <v>17.8</v>
      </c>
    </row>
    <row r="42" spans="2:12">
      <c r="B42" s="166"/>
      <c r="C42" s="157">
        <v>1994</v>
      </c>
      <c r="D42" s="159">
        <v>16.2</v>
      </c>
      <c r="E42" s="167">
        <v>27.8</v>
      </c>
      <c r="F42" s="167">
        <v>4.9000000000000004</v>
      </c>
      <c r="G42" s="167">
        <v>11.8</v>
      </c>
      <c r="H42" s="167">
        <v>21.2</v>
      </c>
      <c r="I42" s="167">
        <v>2.2999999999999998</v>
      </c>
      <c r="J42" s="167">
        <v>52.3</v>
      </c>
      <c r="K42" s="167">
        <v>87.2</v>
      </c>
      <c r="L42" s="167">
        <v>22.6</v>
      </c>
    </row>
    <row r="43" spans="2:12" s="14" customFormat="1">
      <c r="B43" s="166"/>
      <c r="C43" s="158" t="s">
        <v>56</v>
      </c>
      <c r="D43" s="159">
        <v>16.3</v>
      </c>
      <c r="E43" s="168">
        <v>27.7</v>
      </c>
      <c r="F43" s="168">
        <v>5.3</v>
      </c>
      <c r="G43" s="168">
        <v>11.6</v>
      </c>
      <c r="H43" s="168">
        <v>20.7</v>
      </c>
      <c r="I43" s="168">
        <v>2.5</v>
      </c>
      <c r="J43" s="168">
        <v>54.9</v>
      </c>
      <c r="K43" s="168">
        <v>90.4</v>
      </c>
      <c r="L43" s="168">
        <v>24.7</v>
      </c>
    </row>
    <row r="44" spans="2:12">
      <c r="B44" s="166"/>
      <c r="C44" s="158" t="s">
        <v>57</v>
      </c>
      <c r="D44" s="159">
        <v>11.7</v>
      </c>
      <c r="E44" s="168">
        <v>19.2</v>
      </c>
      <c r="F44" s="168">
        <v>4.3</v>
      </c>
      <c r="G44" s="168">
        <v>7.6</v>
      </c>
      <c r="H44" s="168">
        <v>13.2</v>
      </c>
      <c r="I44" s="168">
        <v>1.9</v>
      </c>
      <c r="J44" s="168">
        <v>44.2</v>
      </c>
      <c r="K44" s="168">
        <v>71.5</v>
      </c>
      <c r="L44" s="168">
        <v>21.1</v>
      </c>
    </row>
    <row r="45" spans="2:12">
      <c r="B45" s="166"/>
      <c r="C45" s="158" t="s">
        <v>58</v>
      </c>
      <c r="D45" s="159">
        <v>6.1</v>
      </c>
      <c r="E45" s="168">
        <v>9.6999999999999993</v>
      </c>
      <c r="F45" s="168">
        <v>2.7</v>
      </c>
      <c r="G45" s="168">
        <v>3.5</v>
      </c>
      <c r="H45" s="168">
        <v>6</v>
      </c>
      <c r="I45" s="168">
        <v>1</v>
      </c>
      <c r="J45" s="168">
        <v>26.6</v>
      </c>
      <c r="K45" s="168">
        <v>41.7</v>
      </c>
      <c r="L45" s="168">
        <v>13.9</v>
      </c>
    </row>
    <row r="46" spans="2:12">
      <c r="B46" s="166"/>
      <c r="C46" s="158" t="s">
        <v>59</v>
      </c>
      <c r="D46" s="168">
        <v>4.9000000000000004</v>
      </c>
      <c r="E46" s="168">
        <v>7.7</v>
      </c>
      <c r="F46" s="168">
        <v>2.2999999999999998</v>
      </c>
      <c r="G46" s="168">
        <v>2.7</v>
      </c>
      <c r="H46" s="168">
        <v>4.5999999999999996</v>
      </c>
      <c r="I46" s="168">
        <v>0.8</v>
      </c>
      <c r="J46" s="168">
        <v>22.1</v>
      </c>
      <c r="K46" s="168">
        <v>34</v>
      </c>
      <c r="L46" s="168">
        <v>12.2</v>
      </c>
    </row>
    <row r="47" spans="2:12">
      <c r="B47" s="166"/>
      <c r="C47" s="157">
        <v>1999</v>
      </c>
      <c r="D47" s="127">
        <v>5.4</v>
      </c>
      <c r="E47" s="168">
        <v>8.4</v>
      </c>
      <c r="F47" s="168">
        <v>2.6</v>
      </c>
      <c r="G47" s="168">
        <v>3</v>
      </c>
      <c r="H47" s="168">
        <v>5</v>
      </c>
      <c r="I47" s="168">
        <v>1</v>
      </c>
      <c r="J47" s="168">
        <v>24.2</v>
      </c>
      <c r="K47" s="168">
        <v>37.1</v>
      </c>
      <c r="L47" s="168">
        <v>13.4</v>
      </c>
    </row>
    <row r="48" spans="2:12">
      <c r="B48" s="166"/>
      <c r="C48" s="8">
        <v>2000</v>
      </c>
      <c r="D48" s="127">
        <v>5.3</v>
      </c>
      <c r="E48" s="127">
        <v>8</v>
      </c>
      <c r="F48" s="127">
        <v>2.6</v>
      </c>
      <c r="G48" s="127">
        <v>2.8</v>
      </c>
      <c r="H48" s="127">
        <v>4.7</v>
      </c>
      <c r="I48" s="127">
        <v>1</v>
      </c>
      <c r="J48" s="127">
        <v>23.7</v>
      </c>
      <c r="K48" s="127">
        <v>35.9</v>
      </c>
      <c r="L48" s="127">
        <v>13.4</v>
      </c>
    </row>
    <row r="49" spans="2:12">
      <c r="B49" s="166"/>
      <c r="C49" s="8">
        <v>2001</v>
      </c>
      <c r="D49" s="127">
        <v>5</v>
      </c>
      <c r="E49" s="127">
        <v>7.5</v>
      </c>
      <c r="F49" s="127">
        <v>2.5</v>
      </c>
      <c r="G49" s="127">
        <v>2.6</v>
      </c>
      <c r="H49" s="127">
        <v>4.4000000000000004</v>
      </c>
      <c r="I49" s="127">
        <v>0.9</v>
      </c>
      <c r="J49" s="127">
        <v>22.8</v>
      </c>
      <c r="K49" s="127">
        <v>33.799999999999997</v>
      </c>
      <c r="L49" s="127">
        <v>13.4</v>
      </c>
    </row>
    <row r="50" spans="2:12">
      <c r="B50" s="166"/>
      <c r="C50" s="8">
        <v>2002</v>
      </c>
      <c r="D50" s="127">
        <v>4.9000000000000004</v>
      </c>
      <c r="E50" s="127">
        <v>7.4</v>
      </c>
      <c r="F50" s="127">
        <v>2.5</v>
      </c>
      <c r="G50" s="127">
        <v>2.6</v>
      </c>
      <c r="H50" s="127">
        <v>4.3</v>
      </c>
      <c r="I50" s="127">
        <v>0.9</v>
      </c>
      <c r="J50" s="127">
        <v>22.5</v>
      </c>
      <c r="K50" s="127">
        <v>33.299999999999997</v>
      </c>
      <c r="L50" s="127">
        <v>13.4</v>
      </c>
    </row>
    <row r="51" spans="2:12">
      <c r="B51" s="166"/>
      <c r="C51" s="8">
        <v>2003</v>
      </c>
      <c r="D51" s="127">
        <v>4.7</v>
      </c>
      <c r="E51" s="127">
        <v>7.1</v>
      </c>
      <c r="F51" s="127">
        <v>2.4</v>
      </c>
      <c r="G51" s="127">
        <v>2.5</v>
      </c>
      <c r="H51" s="127">
        <v>4.2</v>
      </c>
      <c r="I51" s="127">
        <v>0.9</v>
      </c>
      <c r="J51" s="127">
        <v>21.3</v>
      </c>
      <c r="K51" s="127">
        <v>31.3</v>
      </c>
      <c r="L51" s="127">
        <v>12.8</v>
      </c>
    </row>
    <row r="52" spans="2:12">
      <c r="B52" s="166"/>
      <c r="C52" s="8">
        <v>2004</v>
      </c>
      <c r="D52" s="127">
        <v>4.5</v>
      </c>
      <c r="E52" s="127">
        <v>6.6</v>
      </c>
      <c r="F52" s="127">
        <v>2.4</v>
      </c>
      <c r="G52" s="127">
        <v>2.2999999999999998</v>
      </c>
      <c r="H52" s="127">
        <v>3.8</v>
      </c>
      <c r="I52" s="127">
        <v>0.9</v>
      </c>
      <c r="J52" s="127">
        <v>20.399999999999999</v>
      </c>
      <c r="K52" s="127">
        <v>29.2</v>
      </c>
      <c r="L52" s="127">
        <v>13</v>
      </c>
    </row>
    <row r="53" spans="2:12">
      <c r="B53" s="166"/>
      <c r="C53" s="8">
        <v>2005</v>
      </c>
      <c r="D53" s="127">
        <v>4.2</v>
      </c>
      <c r="E53" s="127">
        <v>6.2</v>
      </c>
      <c r="F53" s="127">
        <v>2.2999999999999998</v>
      </c>
      <c r="G53" s="127">
        <v>2.2000000000000002</v>
      </c>
      <c r="H53" s="127">
        <v>3.6</v>
      </c>
      <c r="I53" s="127">
        <v>0.8</v>
      </c>
      <c r="J53" s="127">
        <v>19.399999999999999</v>
      </c>
      <c r="K53" s="127">
        <v>28.2</v>
      </c>
      <c r="L53" s="127">
        <v>12</v>
      </c>
    </row>
    <row r="54" spans="2:12">
      <c r="B54" s="166"/>
      <c r="C54" s="8">
        <v>2006</v>
      </c>
      <c r="D54" s="127">
        <v>4</v>
      </c>
      <c r="E54" s="127">
        <v>5.9</v>
      </c>
      <c r="F54" s="127">
        <v>2.2000000000000002</v>
      </c>
      <c r="G54" s="127">
        <v>2.1</v>
      </c>
      <c r="H54" s="127">
        <v>3.4</v>
      </c>
      <c r="I54" s="127">
        <v>0.7</v>
      </c>
      <c r="J54" s="127">
        <v>18.600000000000001</v>
      </c>
      <c r="K54" s="127">
        <v>26.3</v>
      </c>
      <c r="L54" s="127">
        <v>12.2</v>
      </c>
    </row>
    <row r="55" spans="2:12">
      <c r="B55" s="166"/>
      <c r="C55" s="8">
        <v>2007</v>
      </c>
      <c r="D55" s="127">
        <v>3.7</v>
      </c>
      <c r="E55" s="127">
        <v>5.4</v>
      </c>
      <c r="F55" s="127">
        <v>2.1</v>
      </c>
      <c r="G55" s="127">
        <v>1.9</v>
      </c>
      <c r="H55" s="127">
        <v>3.1</v>
      </c>
      <c r="I55" s="127">
        <v>0.7</v>
      </c>
      <c r="J55" s="127">
        <v>17.3</v>
      </c>
      <c r="K55" s="127">
        <v>24.5</v>
      </c>
      <c r="L55" s="127">
        <v>11.3</v>
      </c>
    </row>
    <row r="56" spans="2:12">
      <c r="B56" s="166"/>
      <c r="C56" s="8">
        <v>2008</v>
      </c>
      <c r="D56" s="127">
        <v>3.3</v>
      </c>
      <c r="E56" s="127">
        <v>4.8</v>
      </c>
      <c r="F56" s="127">
        <v>1.9</v>
      </c>
      <c r="G56" s="127">
        <v>1.7</v>
      </c>
      <c r="H56" s="127">
        <v>2.8</v>
      </c>
      <c r="I56" s="127">
        <v>0.7</v>
      </c>
      <c r="J56" s="127">
        <v>15.3</v>
      </c>
      <c r="K56" s="127">
        <v>21.9</v>
      </c>
      <c r="L56" s="127">
        <v>9.8000000000000007</v>
      </c>
    </row>
    <row r="57" spans="2:12">
      <c r="B57" s="166"/>
      <c r="C57" s="8">
        <v>2009</v>
      </c>
      <c r="D57" s="127">
        <v>3</v>
      </c>
      <c r="E57" s="127">
        <v>4.4000000000000004</v>
      </c>
      <c r="F57" s="127">
        <v>1.7</v>
      </c>
      <c r="G57" s="127">
        <v>1.5</v>
      </c>
      <c r="H57" s="127">
        <v>2.5</v>
      </c>
      <c r="I57" s="127">
        <v>0.6</v>
      </c>
      <c r="J57" s="127">
        <v>14</v>
      </c>
      <c r="K57" s="127">
        <v>19.5</v>
      </c>
      <c r="L57" s="127">
        <v>8.9</v>
      </c>
    </row>
    <row r="58" spans="2:12">
      <c r="B58" s="166"/>
      <c r="C58" s="8">
        <v>2010</v>
      </c>
      <c r="D58" s="127">
        <v>2.6</v>
      </c>
      <c r="E58" s="127">
        <v>3.8</v>
      </c>
      <c r="F58" s="127">
        <v>1.4</v>
      </c>
      <c r="G58" s="127">
        <v>1.4</v>
      </c>
      <c r="H58" s="127">
        <v>2.2999999999999998</v>
      </c>
      <c r="I58" s="127">
        <v>0.5</v>
      </c>
      <c r="J58" s="127">
        <v>11.6</v>
      </c>
      <c r="K58" s="127">
        <v>16.5</v>
      </c>
      <c r="L58" s="127">
        <v>7.5</v>
      </c>
    </row>
    <row r="59" spans="2:12">
      <c r="B59" s="166"/>
      <c r="C59" s="8">
        <v>2011</v>
      </c>
      <c r="D59" s="127">
        <v>2.4</v>
      </c>
      <c r="E59" s="127">
        <v>3.4</v>
      </c>
      <c r="F59" s="127">
        <v>1.3</v>
      </c>
      <c r="G59" s="127">
        <v>1.3</v>
      </c>
      <c r="H59" s="127">
        <v>2</v>
      </c>
      <c r="I59" s="127">
        <v>0.5</v>
      </c>
      <c r="J59" s="127">
        <v>10.3</v>
      </c>
      <c r="K59" s="127">
        <v>14.5</v>
      </c>
      <c r="L59" s="127">
        <v>6.8</v>
      </c>
    </row>
    <row r="60" spans="2:12">
      <c r="B60" s="166"/>
      <c r="C60" s="8">
        <v>2012</v>
      </c>
      <c r="D60" s="127">
        <v>2.2000000000000002</v>
      </c>
      <c r="E60" s="127">
        <v>3.2</v>
      </c>
      <c r="F60" s="127">
        <v>1.2</v>
      </c>
      <c r="G60" s="127">
        <v>1.2</v>
      </c>
      <c r="H60" s="127">
        <v>2</v>
      </c>
      <c r="I60" s="127">
        <v>0.4</v>
      </c>
      <c r="J60" s="127">
        <v>9.5</v>
      </c>
      <c r="K60" s="127">
        <v>13.3</v>
      </c>
      <c r="L60" s="127">
        <v>6.3</v>
      </c>
    </row>
    <row r="61" spans="2:12">
      <c r="B61" s="171"/>
      <c r="C61" s="6"/>
      <c r="D61" s="175"/>
      <c r="E61" s="175"/>
      <c r="F61" s="175"/>
      <c r="G61" s="175"/>
      <c r="H61" s="175"/>
      <c r="I61" s="175"/>
      <c r="J61" s="175"/>
      <c r="K61" s="175"/>
      <c r="L61" s="175"/>
    </row>
    <row r="62" spans="2:12" ht="30" customHeight="1">
      <c r="B62" s="347" t="s">
        <v>614</v>
      </c>
      <c r="C62" s="348"/>
      <c r="D62" s="348"/>
      <c r="E62" s="348"/>
      <c r="F62" s="348"/>
      <c r="G62" s="348"/>
      <c r="H62" s="348"/>
      <c r="I62" s="348"/>
      <c r="J62" s="348"/>
      <c r="K62" s="348"/>
      <c r="L62" s="348"/>
    </row>
    <row r="63" spans="2:12" ht="57.75" customHeight="1">
      <c r="B63" s="347" t="s">
        <v>60</v>
      </c>
      <c r="C63" s="348"/>
      <c r="D63" s="348"/>
      <c r="E63" s="348"/>
      <c r="F63" s="348"/>
      <c r="G63" s="348"/>
      <c r="H63" s="348"/>
      <c r="I63" s="348"/>
      <c r="J63" s="348"/>
      <c r="K63" s="348"/>
      <c r="L63" s="348"/>
    </row>
    <row r="64" spans="2:12" ht="81" customHeight="1">
      <c r="B64" s="347" t="s">
        <v>127</v>
      </c>
      <c r="C64" s="348"/>
      <c r="D64" s="348"/>
      <c r="E64" s="348"/>
      <c r="F64" s="348"/>
      <c r="G64" s="348"/>
      <c r="H64" s="348"/>
      <c r="I64" s="348"/>
      <c r="J64" s="348"/>
      <c r="K64" s="348"/>
      <c r="L64" s="348"/>
    </row>
    <row r="65" spans="2:12" ht="29.25" customHeight="1">
      <c r="B65" s="347" t="s">
        <v>62</v>
      </c>
      <c r="C65" s="348"/>
      <c r="D65" s="348"/>
      <c r="E65" s="348"/>
      <c r="F65" s="348"/>
      <c r="G65" s="348"/>
      <c r="H65" s="348"/>
      <c r="I65" s="348"/>
      <c r="J65" s="348"/>
      <c r="K65" s="348"/>
      <c r="L65" s="348"/>
    </row>
  </sheetData>
  <mergeCells count="6">
    <mergeCell ref="B64:L64"/>
    <mergeCell ref="B65:L65"/>
    <mergeCell ref="B5:B6"/>
    <mergeCell ref="C5:C6"/>
    <mergeCell ref="B62:L62"/>
    <mergeCell ref="B63:L63"/>
  </mergeCells>
  <phoneticPr fontId="1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heetViews>
  <sheetFormatPr defaultColWidth="12.83203125" defaultRowHeight="15"/>
  <cols>
    <col min="1" max="1" width="4.5" style="2" customWidth="1"/>
    <col min="2" max="2" width="14.1640625" style="2" customWidth="1"/>
    <col min="3" max="3" width="12.83203125" style="2"/>
    <col min="4" max="12" width="9.5" style="2" customWidth="1"/>
    <col min="13" max="34" width="12.83203125" style="2"/>
    <col min="35" max="35" width="6.1640625" style="2" customWidth="1"/>
    <col min="36" max="16384" width="12.83203125" style="2"/>
  </cols>
  <sheetData>
    <row r="1" spans="1:12" ht="15.75">
      <c r="A1" s="1"/>
      <c r="B1" s="152"/>
    </row>
    <row r="2" spans="1:12">
      <c r="B2" s="3" t="s">
        <v>122</v>
      </c>
      <c r="C2" s="4"/>
      <c r="D2" s="4"/>
      <c r="E2" s="4"/>
      <c r="F2" s="4"/>
      <c r="G2" s="4"/>
      <c r="H2" s="4"/>
      <c r="I2" s="4"/>
      <c r="J2" s="4"/>
      <c r="K2" s="4"/>
      <c r="L2" s="4"/>
    </row>
    <row r="3" spans="1:12" ht="15.75">
      <c r="B3" s="5" t="s">
        <v>123</v>
      </c>
      <c r="C3" s="4"/>
      <c r="D3" s="4"/>
      <c r="E3" s="4"/>
      <c r="F3" s="4"/>
      <c r="G3" s="4"/>
      <c r="H3" s="4"/>
      <c r="I3" s="4"/>
      <c r="J3" s="4"/>
      <c r="K3" s="4"/>
      <c r="L3" s="4"/>
    </row>
    <row r="4" spans="1:12">
      <c r="B4" s="3" t="s">
        <v>576</v>
      </c>
      <c r="C4" s="4"/>
      <c r="D4" s="4"/>
      <c r="E4" s="4"/>
      <c r="F4" s="4"/>
      <c r="G4" s="4"/>
      <c r="H4" s="4"/>
      <c r="I4" s="4"/>
      <c r="J4" s="4"/>
      <c r="K4" s="4"/>
      <c r="L4" s="4"/>
    </row>
    <row r="5" spans="1:12">
      <c r="B5" s="282" t="s">
        <v>51</v>
      </c>
      <c r="C5" s="282" t="s">
        <v>157</v>
      </c>
      <c r="D5" s="153" t="s">
        <v>544</v>
      </c>
      <c r="E5" s="58"/>
      <c r="F5" s="135"/>
      <c r="G5" s="154" t="s">
        <v>545</v>
      </c>
      <c r="H5" s="58"/>
      <c r="I5" s="135"/>
      <c r="J5" s="154" t="s">
        <v>546</v>
      </c>
      <c r="K5" s="58"/>
      <c r="L5" s="135"/>
    </row>
    <row r="6" spans="1:12">
      <c r="B6" s="283"/>
      <c r="C6" s="283"/>
      <c r="D6" s="155" t="s">
        <v>435</v>
      </c>
      <c r="E6" s="155" t="s">
        <v>550</v>
      </c>
      <c r="F6" s="155" t="s">
        <v>551</v>
      </c>
      <c r="G6" s="155" t="s">
        <v>435</v>
      </c>
      <c r="H6" s="155" t="s">
        <v>550</v>
      </c>
      <c r="I6" s="155" t="s">
        <v>551</v>
      </c>
      <c r="J6" s="155" t="s">
        <v>435</v>
      </c>
      <c r="K6" s="155" t="s">
        <v>550</v>
      </c>
      <c r="L6" s="155" t="s">
        <v>551</v>
      </c>
    </row>
    <row r="7" spans="1:12">
      <c r="B7" s="11"/>
      <c r="C7" s="157" t="s">
        <v>166</v>
      </c>
      <c r="D7" s="174">
        <v>9.1</v>
      </c>
      <c r="E7" s="174">
        <v>12.3</v>
      </c>
      <c r="F7" s="174">
        <v>7.4</v>
      </c>
      <c r="G7" s="174">
        <v>8.1</v>
      </c>
      <c r="H7" s="174">
        <v>11.1</v>
      </c>
      <c r="I7" s="174">
        <v>6.4</v>
      </c>
      <c r="J7" s="174">
        <v>18.899999999999999</v>
      </c>
      <c r="K7" s="174">
        <v>23.5</v>
      </c>
      <c r="L7" s="174">
        <v>16.2</v>
      </c>
    </row>
    <row r="8" spans="1:12">
      <c r="B8" s="11"/>
      <c r="C8" s="157" t="s">
        <v>252</v>
      </c>
      <c r="D8" s="160">
        <v>9.6999999999999993</v>
      </c>
      <c r="E8" s="160">
        <v>12.1</v>
      </c>
      <c r="F8" s="160">
        <v>8.3000000000000007</v>
      </c>
      <c r="G8" s="160">
        <v>8.6</v>
      </c>
      <c r="H8" s="160">
        <v>11</v>
      </c>
      <c r="I8" s="160">
        <v>7.2</v>
      </c>
      <c r="J8" s="160">
        <v>19.399999999999999</v>
      </c>
      <c r="K8" s="160">
        <v>22.5</v>
      </c>
      <c r="L8" s="160">
        <v>17.600000000000001</v>
      </c>
    </row>
    <row r="9" spans="1:12">
      <c r="B9" s="11"/>
      <c r="C9" s="157" t="s">
        <v>253</v>
      </c>
      <c r="D9" s="160">
        <v>10.199999999999999</v>
      </c>
      <c r="E9" s="160">
        <v>14.3</v>
      </c>
      <c r="F9" s="160">
        <v>7.9</v>
      </c>
      <c r="G9" s="160">
        <v>9.3000000000000007</v>
      </c>
      <c r="H9" s="160">
        <v>13.4</v>
      </c>
      <c r="I9" s="160">
        <v>7.1</v>
      </c>
      <c r="J9" s="160">
        <v>18.2</v>
      </c>
      <c r="K9" s="160">
        <v>22.1</v>
      </c>
      <c r="L9" s="160">
        <v>15.5</v>
      </c>
    </row>
    <row r="10" spans="1:12">
      <c r="B10" s="11"/>
      <c r="C10" s="157" t="s">
        <v>254</v>
      </c>
      <c r="D10" s="160">
        <v>9.9</v>
      </c>
      <c r="E10" s="160">
        <v>13</v>
      </c>
      <c r="F10" s="160">
        <v>8.3000000000000007</v>
      </c>
      <c r="G10" s="160">
        <v>9.4</v>
      </c>
      <c r="H10" s="160">
        <v>12.3</v>
      </c>
      <c r="I10" s="160">
        <v>7.8</v>
      </c>
      <c r="J10" s="160">
        <v>13.7</v>
      </c>
      <c r="K10" s="160">
        <v>18.2</v>
      </c>
      <c r="L10" s="160">
        <v>11.2</v>
      </c>
    </row>
    <row r="11" spans="1:12">
      <c r="B11" s="11"/>
      <c r="C11" s="157" t="s">
        <v>255</v>
      </c>
      <c r="D11" s="160">
        <v>9.4</v>
      </c>
      <c r="E11" s="160">
        <v>13.2</v>
      </c>
      <c r="F11" s="160">
        <v>7.1</v>
      </c>
      <c r="G11" s="160">
        <v>8.4</v>
      </c>
      <c r="H11" s="160">
        <v>12.1</v>
      </c>
      <c r="I11" s="160">
        <v>6.4</v>
      </c>
      <c r="J11" s="160">
        <v>17.399999999999999</v>
      </c>
      <c r="K11" s="160">
        <v>23.4</v>
      </c>
      <c r="L11" s="160">
        <v>13.4</v>
      </c>
    </row>
    <row r="12" spans="1:12" ht="15.75">
      <c r="B12" s="156"/>
      <c r="C12" s="157" t="s">
        <v>256</v>
      </c>
      <c r="D12" s="160">
        <v>9.8000000000000007</v>
      </c>
      <c r="E12" s="160">
        <v>13.2</v>
      </c>
      <c r="F12" s="160">
        <v>7.8</v>
      </c>
      <c r="G12" s="160">
        <v>8.8000000000000007</v>
      </c>
      <c r="H12" s="160">
        <v>12.2</v>
      </c>
      <c r="I12" s="160">
        <v>6.9</v>
      </c>
      <c r="J12" s="160">
        <v>18.2</v>
      </c>
      <c r="K12" s="160">
        <v>22.2</v>
      </c>
      <c r="L12" s="160">
        <v>15.6</v>
      </c>
    </row>
    <row r="13" spans="1:12">
      <c r="B13" s="11"/>
      <c r="C13" s="157" t="s">
        <v>257</v>
      </c>
      <c r="D13" s="160">
        <v>11.3</v>
      </c>
      <c r="E13" s="160">
        <v>15.1</v>
      </c>
      <c r="F13" s="160">
        <v>9.1999999999999993</v>
      </c>
      <c r="G13" s="160">
        <v>9.9</v>
      </c>
      <c r="H13" s="160">
        <v>13.4</v>
      </c>
      <c r="I13" s="160">
        <v>8</v>
      </c>
      <c r="J13" s="160">
        <v>23.2</v>
      </c>
      <c r="K13" s="160">
        <v>29.1</v>
      </c>
      <c r="L13" s="160">
        <v>19.600000000000001</v>
      </c>
    </row>
    <row r="14" spans="1:12">
      <c r="B14" s="11"/>
      <c r="C14" s="157" t="s">
        <v>258</v>
      </c>
      <c r="D14" s="160">
        <v>10.7</v>
      </c>
      <c r="E14" s="160">
        <v>13.8</v>
      </c>
      <c r="F14" s="160">
        <v>9</v>
      </c>
      <c r="G14" s="160">
        <v>9.5</v>
      </c>
      <c r="H14" s="160">
        <v>12.7</v>
      </c>
      <c r="I14" s="160">
        <v>7.9</v>
      </c>
      <c r="J14" s="160">
        <v>20.2</v>
      </c>
      <c r="K14" s="160">
        <v>23.6</v>
      </c>
      <c r="L14" s="160">
        <v>17.8</v>
      </c>
    </row>
    <row r="15" spans="1:12" ht="15.75">
      <c r="B15" s="156" t="s">
        <v>52</v>
      </c>
      <c r="C15" s="157" t="s">
        <v>259</v>
      </c>
      <c r="D15" s="160">
        <v>11.1</v>
      </c>
      <c r="E15" s="160">
        <v>14.3</v>
      </c>
      <c r="F15" s="160">
        <v>9.4</v>
      </c>
      <c r="G15" s="160">
        <v>10</v>
      </c>
      <c r="H15" s="160">
        <v>13</v>
      </c>
      <c r="I15" s="160">
        <v>8.5</v>
      </c>
      <c r="J15" s="160">
        <v>20.3</v>
      </c>
      <c r="K15" s="160">
        <v>24.6</v>
      </c>
      <c r="L15" s="160">
        <v>17.399999999999999</v>
      </c>
    </row>
    <row r="16" spans="1:12">
      <c r="B16" s="11"/>
      <c r="C16" s="157" t="s">
        <v>260</v>
      </c>
      <c r="D16" s="160">
        <v>10.1</v>
      </c>
      <c r="E16" s="160">
        <v>14.1</v>
      </c>
      <c r="F16" s="160">
        <v>7.7</v>
      </c>
      <c r="G16" s="160">
        <v>9</v>
      </c>
      <c r="H16" s="160">
        <v>12.5</v>
      </c>
      <c r="I16" s="160">
        <v>7.1</v>
      </c>
      <c r="J16" s="160">
        <v>18.600000000000001</v>
      </c>
      <c r="K16" s="160">
        <v>27.9</v>
      </c>
      <c r="L16" s="160">
        <v>12.5</v>
      </c>
    </row>
    <row r="17" spans="2:12">
      <c r="B17" s="11"/>
      <c r="C17" s="157" t="s">
        <v>167</v>
      </c>
      <c r="D17" s="160">
        <v>9.9</v>
      </c>
      <c r="E17" s="160">
        <v>13.1</v>
      </c>
      <c r="F17" s="160">
        <v>8.1999999999999993</v>
      </c>
      <c r="G17" s="160">
        <v>9.1</v>
      </c>
      <c r="H17" s="160">
        <v>12.2</v>
      </c>
      <c r="I17" s="160">
        <v>7.4</v>
      </c>
      <c r="J17" s="160">
        <v>17.100000000000001</v>
      </c>
      <c r="K17" s="160">
        <v>21.1</v>
      </c>
      <c r="L17" s="160">
        <v>15.2</v>
      </c>
    </row>
    <row r="18" spans="2:12">
      <c r="B18" s="11"/>
      <c r="C18" s="157" t="s">
        <v>168</v>
      </c>
      <c r="D18" s="160">
        <v>9.8000000000000007</v>
      </c>
      <c r="E18" s="160">
        <v>13.2</v>
      </c>
      <c r="F18" s="160">
        <v>7.8</v>
      </c>
      <c r="G18" s="160">
        <v>9</v>
      </c>
      <c r="H18" s="160">
        <v>12.2</v>
      </c>
      <c r="I18" s="160">
        <v>7.2</v>
      </c>
      <c r="J18" s="160">
        <v>15.9</v>
      </c>
      <c r="K18" s="160">
        <v>20.399999999999999</v>
      </c>
      <c r="L18" s="160">
        <v>12.7</v>
      </c>
    </row>
    <row r="19" spans="2:12">
      <c r="B19" s="11"/>
      <c r="C19" s="157" t="s">
        <v>169</v>
      </c>
      <c r="D19" s="160">
        <v>10.7</v>
      </c>
      <c r="E19" s="160">
        <v>13.7</v>
      </c>
      <c r="F19" s="160">
        <v>9.1</v>
      </c>
      <c r="G19" s="160">
        <v>9.6</v>
      </c>
      <c r="H19" s="160">
        <v>12.6</v>
      </c>
      <c r="I19" s="160">
        <v>8</v>
      </c>
      <c r="J19" s="160">
        <v>18.899999999999999</v>
      </c>
      <c r="K19" s="160">
        <v>21.7</v>
      </c>
      <c r="L19" s="160">
        <v>17.399999999999999</v>
      </c>
    </row>
    <row r="20" spans="2:12">
      <c r="B20" s="11"/>
      <c r="C20" s="157" t="s">
        <v>170</v>
      </c>
      <c r="D20" s="160">
        <v>11.1</v>
      </c>
      <c r="E20" s="160">
        <v>14.2</v>
      </c>
      <c r="F20" s="160">
        <v>9.6</v>
      </c>
      <c r="G20" s="160">
        <v>9.9</v>
      </c>
      <c r="H20" s="160">
        <v>13.4</v>
      </c>
      <c r="I20" s="160">
        <v>8.1999999999999993</v>
      </c>
      <c r="J20" s="160">
        <v>21.2</v>
      </c>
      <c r="K20" s="160">
        <v>21.3</v>
      </c>
      <c r="L20" s="160">
        <v>21</v>
      </c>
    </row>
    <row r="21" spans="2:12">
      <c r="B21" s="11"/>
      <c r="C21" s="157">
        <v>1994</v>
      </c>
      <c r="D21" s="160">
        <v>10.5</v>
      </c>
      <c r="E21" s="160">
        <v>13.4</v>
      </c>
      <c r="F21" s="160">
        <v>9</v>
      </c>
      <c r="G21" s="160">
        <v>9.5</v>
      </c>
      <c r="H21" s="160">
        <v>12.3</v>
      </c>
      <c r="I21" s="160">
        <v>8.1</v>
      </c>
      <c r="J21" s="160">
        <v>18.5</v>
      </c>
      <c r="K21" s="160">
        <v>22.6</v>
      </c>
      <c r="L21" s="160">
        <v>16.2</v>
      </c>
    </row>
    <row r="22" spans="2:12" s="14" customFormat="1">
      <c r="B22" s="11"/>
      <c r="C22" s="157">
        <v>1995</v>
      </c>
      <c r="D22" s="160">
        <v>10.5</v>
      </c>
      <c r="E22" s="160">
        <v>13.1</v>
      </c>
      <c r="F22" s="160">
        <v>9.1999999999999993</v>
      </c>
      <c r="G22" s="160">
        <v>9.6999999999999993</v>
      </c>
      <c r="H22" s="160">
        <v>12</v>
      </c>
      <c r="I22" s="160">
        <v>8.6</v>
      </c>
      <c r="J22" s="160">
        <v>16.8</v>
      </c>
      <c r="K22" s="160">
        <v>22.8</v>
      </c>
      <c r="L22" s="160">
        <v>13.4</v>
      </c>
    </row>
    <row r="23" spans="2:12">
      <c r="B23" s="11"/>
      <c r="C23" s="157">
        <v>1996</v>
      </c>
      <c r="D23" s="160">
        <v>11.2</v>
      </c>
      <c r="E23" s="160">
        <v>14.3</v>
      </c>
      <c r="F23" s="160">
        <v>9.3000000000000007</v>
      </c>
      <c r="G23" s="160">
        <v>10.1</v>
      </c>
      <c r="H23" s="160">
        <v>13.3</v>
      </c>
      <c r="I23" s="160">
        <v>8.3000000000000007</v>
      </c>
      <c r="J23" s="160">
        <v>19.600000000000001</v>
      </c>
      <c r="K23" s="160">
        <v>21.1</v>
      </c>
      <c r="L23" s="160">
        <v>18</v>
      </c>
    </row>
    <row r="24" spans="2:12">
      <c r="B24" s="11"/>
      <c r="C24" s="157">
        <v>1997</v>
      </c>
      <c r="D24" s="160">
        <v>12</v>
      </c>
      <c r="E24" s="160">
        <v>15.6</v>
      </c>
      <c r="F24" s="160">
        <v>10</v>
      </c>
      <c r="G24" s="160">
        <v>10.9</v>
      </c>
      <c r="H24" s="160">
        <v>14.4</v>
      </c>
      <c r="I24" s="160">
        <v>9</v>
      </c>
      <c r="J24" s="160">
        <v>21.4</v>
      </c>
      <c r="K24" s="160">
        <v>26.1</v>
      </c>
      <c r="L24" s="160">
        <v>18.399999999999999</v>
      </c>
    </row>
    <row r="25" spans="2:12">
      <c r="B25" s="11"/>
      <c r="C25" s="157">
        <v>1998</v>
      </c>
      <c r="D25" s="160">
        <v>11.7</v>
      </c>
      <c r="E25" s="160">
        <v>14.4</v>
      </c>
      <c r="F25" s="160">
        <v>10.199999999999999</v>
      </c>
      <c r="G25" s="160">
        <v>10.6</v>
      </c>
      <c r="H25" s="160">
        <v>13.2</v>
      </c>
      <c r="I25" s="160">
        <v>9.3000000000000007</v>
      </c>
      <c r="J25" s="160">
        <v>20.9</v>
      </c>
      <c r="K25" s="160">
        <v>25.3</v>
      </c>
      <c r="L25" s="160">
        <v>18.399999999999999</v>
      </c>
    </row>
    <row r="26" spans="2:12" ht="13.5" customHeight="1">
      <c r="B26" s="11"/>
      <c r="C26" s="157">
        <v>1999</v>
      </c>
      <c r="D26" s="160">
        <v>15</v>
      </c>
      <c r="E26" s="160">
        <v>18.399999999999999</v>
      </c>
      <c r="F26" s="160">
        <v>13</v>
      </c>
      <c r="G26" s="160">
        <v>13.4</v>
      </c>
      <c r="H26" s="160">
        <v>16.600000000000001</v>
      </c>
      <c r="I26" s="160">
        <v>11.6</v>
      </c>
      <c r="J26" s="160">
        <v>27.5</v>
      </c>
      <c r="K26" s="160">
        <v>33.6</v>
      </c>
      <c r="L26" s="160">
        <v>23.9</v>
      </c>
    </row>
    <row r="27" spans="2:12" ht="13.5" customHeight="1">
      <c r="B27" s="11"/>
      <c r="C27" s="157">
        <v>2000</v>
      </c>
      <c r="D27" s="160">
        <v>15.4</v>
      </c>
      <c r="E27" s="160">
        <v>19</v>
      </c>
      <c r="F27" s="160">
        <v>13.3</v>
      </c>
      <c r="G27" s="160">
        <v>13.5</v>
      </c>
      <c r="H27" s="160">
        <v>16.899999999999999</v>
      </c>
      <c r="I27" s="160">
        <v>11.6</v>
      </c>
      <c r="J27" s="160">
        <v>30.7</v>
      </c>
      <c r="K27" s="160">
        <v>37</v>
      </c>
      <c r="L27" s="160">
        <v>26.4</v>
      </c>
    </row>
    <row r="28" spans="2:12" ht="13.5" customHeight="1">
      <c r="B28" s="11"/>
      <c r="C28" s="8">
        <v>2001</v>
      </c>
      <c r="D28" s="160">
        <v>15.8</v>
      </c>
      <c r="E28" s="160">
        <v>19.7</v>
      </c>
      <c r="F28" s="160">
        <v>13.8</v>
      </c>
      <c r="G28" s="160">
        <v>14</v>
      </c>
      <c r="H28" s="160">
        <v>18.3</v>
      </c>
      <c r="I28" s="160">
        <v>11.7</v>
      </c>
      <c r="J28" s="160">
        <v>30.4</v>
      </c>
      <c r="K28" s="160">
        <v>32.6</v>
      </c>
      <c r="L28" s="160">
        <v>29.2</v>
      </c>
    </row>
    <row r="29" spans="2:12" ht="13.5" customHeight="1">
      <c r="B29" s="11"/>
      <c r="C29" s="157">
        <v>2002</v>
      </c>
      <c r="D29" s="159">
        <v>16.3</v>
      </c>
      <c r="E29" s="159">
        <v>19.5</v>
      </c>
      <c r="F29" s="159">
        <v>14.4</v>
      </c>
      <c r="G29" s="159">
        <v>14.5</v>
      </c>
      <c r="H29" s="159">
        <v>17.600000000000001</v>
      </c>
      <c r="I29" s="159">
        <v>12.8</v>
      </c>
      <c r="J29" s="159">
        <v>31</v>
      </c>
      <c r="K29" s="159">
        <v>37.6</v>
      </c>
      <c r="L29" s="159">
        <v>27.4</v>
      </c>
    </row>
    <row r="30" spans="2:12" ht="13.5" customHeight="1">
      <c r="B30" s="11"/>
      <c r="C30" s="157">
        <v>2003</v>
      </c>
      <c r="D30" s="159">
        <v>16.5</v>
      </c>
      <c r="E30" s="159">
        <v>20.3</v>
      </c>
      <c r="F30" s="159">
        <v>14.2</v>
      </c>
      <c r="G30" s="159">
        <v>14.8</v>
      </c>
      <c r="H30" s="159">
        <v>18.600000000000001</v>
      </c>
      <c r="I30" s="159">
        <v>12.6</v>
      </c>
      <c r="J30" s="159">
        <v>30.8</v>
      </c>
      <c r="K30" s="159">
        <v>35.4</v>
      </c>
      <c r="L30" s="159">
        <v>27.7</v>
      </c>
    </row>
    <row r="31" spans="2:12" ht="13.5" customHeight="1">
      <c r="B31" s="11"/>
      <c r="C31" s="157">
        <v>2004</v>
      </c>
      <c r="D31" s="159">
        <v>14.8</v>
      </c>
      <c r="E31" s="159">
        <v>18.100000000000001</v>
      </c>
      <c r="F31" s="159">
        <v>12.9</v>
      </c>
      <c r="G31" s="159">
        <v>13.3</v>
      </c>
      <c r="H31" s="159">
        <v>16.3</v>
      </c>
      <c r="I31" s="159">
        <v>11.6</v>
      </c>
      <c r="J31" s="159">
        <v>27</v>
      </c>
      <c r="K31" s="159">
        <v>33.700000000000003</v>
      </c>
      <c r="L31" s="159">
        <v>23.1</v>
      </c>
    </row>
    <row r="32" spans="2:12" ht="13.5" customHeight="1">
      <c r="B32" s="11"/>
      <c r="C32" s="157">
        <v>2005</v>
      </c>
      <c r="D32" s="159">
        <v>16</v>
      </c>
      <c r="E32" s="159">
        <v>19.2</v>
      </c>
      <c r="F32" s="159">
        <v>14.1</v>
      </c>
      <c r="G32" s="159">
        <v>14.1</v>
      </c>
      <c r="H32" s="159">
        <v>17.3</v>
      </c>
      <c r="I32" s="159">
        <v>12.2</v>
      </c>
      <c r="J32" s="159">
        <v>30.7</v>
      </c>
      <c r="K32" s="159">
        <v>34.6</v>
      </c>
      <c r="L32" s="159">
        <v>28.3</v>
      </c>
    </row>
    <row r="33" spans="2:12" ht="13.5" customHeight="1">
      <c r="B33" s="11"/>
      <c r="C33" s="157">
        <v>2006</v>
      </c>
      <c r="D33" s="159">
        <v>15.1</v>
      </c>
      <c r="E33" s="159">
        <v>17.8</v>
      </c>
      <c r="F33" s="159">
        <v>13.5</v>
      </c>
      <c r="G33" s="159">
        <v>13.6</v>
      </c>
      <c r="H33" s="159">
        <v>16.2</v>
      </c>
      <c r="I33" s="159">
        <v>12.2</v>
      </c>
      <c r="J33" s="159">
        <v>26</v>
      </c>
      <c r="K33" s="159">
        <v>30.7</v>
      </c>
      <c r="L33" s="159">
        <v>23.2</v>
      </c>
    </row>
    <row r="34" spans="2:12" ht="13.5" customHeight="1">
      <c r="B34" s="11"/>
      <c r="C34" s="157">
        <v>2007</v>
      </c>
      <c r="D34" s="159">
        <v>15</v>
      </c>
      <c r="E34" s="159">
        <v>18.8</v>
      </c>
      <c r="F34" s="159">
        <v>12.8</v>
      </c>
      <c r="G34" s="159">
        <v>13.2</v>
      </c>
      <c r="H34" s="159">
        <v>16.7</v>
      </c>
      <c r="I34" s="159">
        <v>11.3</v>
      </c>
      <c r="J34" s="159">
        <v>28.3</v>
      </c>
      <c r="K34" s="159">
        <v>35.700000000000003</v>
      </c>
      <c r="L34" s="159">
        <v>23.8</v>
      </c>
    </row>
    <row r="35" spans="2:12" ht="13.5" customHeight="1">
      <c r="B35" s="11"/>
      <c r="C35" s="157">
        <v>2008</v>
      </c>
      <c r="D35" s="159">
        <v>15.1</v>
      </c>
      <c r="E35" s="159">
        <v>18.3</v>
      </c>
      <c r="F35" s="159">
        <v>13.1</v>
      </c>
      <c r="G35" s="159">
        <v>13.4</v>
      </c>
      <c r="H35" s="159">
        <v>16.3</v>
      </c>
      <c r="I35" s="159">
        <v>11.5</v>
      </c>
      <c r="J35" s="159">
        <v>27.7</v>
      </c>
      <c r="K35" s="159">
        <v>33.700000000000003</v>
      </c>
      <c r="L35" s="159">
        <v>24.3</v>
      </c>
    </row>
    <row r="36" spans="2:12" ht="13.5" customHeight="1">
      <c r="B36" s="11"/>
      <c r="C36" s="157">
        <v>2009</v>
      </c>
      <c r="D36" s="159">
        <v>15.4</v>
      </c>
      <c r="E36" s="159">
        <v>18.8</v>
      </c>
      <c r="F36" s="159">
        <v>13.3</v>
      </c>
      <c r="G36" s="159">
        <v>13.7</v>
      </c>
      <c r="H36" s="159">
        <v>17.2</v>
      </c>
      <c r="I36" s="159">
        <v>11.6</v>
      </c>
      <c r="J36" s="159">
        <v>26.9</v>
      </c>
      <c r="K36" s="159">
        <v>29.8</v>
      </c>
      <c r="L36" s="159">
        <v>25.2</v>
      </c>
    </row>
    <row r="37" spans="2:12" ht="13.5" customHeight="1">
      <c r="B37" s="11"/>
      <c r="C37" s="157">
        <v>2010</v>
      </c>
      <c r="D37" s="159">
        <v>15.3</v>
      </c>
      <c r="E37" s="159">
        <v>19.2</v>
      </c>
      <c r="F37" s="159">
        <v>12.6</v>
      </c>
      <c r="G37" s="159">
        <v>14</v>
      </c>
      <c r="H37" s="159">
        <v>18</v>
      </c>
      <c r="I37" s="159">
        <v>11.4</v>
      </c>
      <c r="J37" s="159">
        <v>24.8</v>
      </c>
      <c r="K37" s="159">
        <v>28.4</v>
      </c>
      <c r="L37" s="159">
        <v>22.2</v>
      </c>
    </row>
    <row r="38" spans="2:12" ht="13.5" customHeight="1">
      <c r="B38" s="11"/>
      <c r="C38" s="157">
        <v>2011</v>
      </c>
      <c r="D38" s="159">
        <v>14.1</v>
      </c>
      <c r="E38" s="159">
        <v>17.100000000000001</v>
      </c>
      <c r="F38" s="159">
        <v>12.3</v>
      </c>
      <c r="G38" s="159">
        <v>12.9</v>
      </c>
      <c r="H38" s="159">
        <v>16.2</v>
      </c>
      <c r="I38" s="159">
        <v>10.8</v>
      </c>
      <c r="J38" s="159">
        <v>23.4</v>
      </c>
      <c r="K38" s="159">
        <v>23.9</v>
      </c>
      <c r="L38" s="159">
        <v>23.3</v>
      </c>
    </row>
    <row r="39" spans="2:12" ht="13.5" customHeight="1">
      <c r="B39" s="11"/>
      <c r="C39" s="157">
        <v>2012</v>
      </c>
      <c r="D39" s="159">
        <v>13.5</v>
      </c>
      <c r="E39" s="159">
        <v>16.8</v>
      </c>
      <c r="F39" s="159">
        <v>11.4</v>
      </c>
      <c r="G39" s="159">
        <v>12.2</v>
      </c>
      <c r="H39" s="159">
        <v>14.9</v>
      </c>
      <c r="I39" s="159">
        <v>10.5</v>
      </c>
      <c r="J39" s="159">
        <v>23.5</v>
      </c>
      <c r="K39" s="159">
        <v>32.700000000000003</v>
      </c>
      <c r="L39" s="159">
        <v>17.399999999999999</v>
      </c>
    </row>
    <row r="40" spans="2:12" ht="13.5" customHeight="1">
      <c r="B40" s="11"/>
      <c r="C40" s="157">
        <v>2013</v>
      </c>
      <c r="D40" s="159">
        <v>13.9</v>
      </c>
      <c r="E40" s="159">
        <v>16.399999999999999</v>
      </c>
      <c r="F40" s="159">
        <v>12.3</v>
      </c>
      <c r="G40" s="159">
        <v>12.4</v>
      </c>
      <c r="H40" s="159">
        <v>14.9</v>
      </c>
      <c r="I40" s="159">
        <v>10.7</v>
      </c>
      <c r="J40" s="159">
        <v>26.3</v>
      </c>
      <c r="K40" s="159">
        <v>28.5</v>
      </c>
      <c r="L40" s="159">
        <v>24.7</v>
      </c>
    </row>
    <row r="41" spans="2:12" ht="13.5" customHeight="1">
      <c r="B41" s="11"/>
      <c r="C41" s="157"/>
      <c r="D41" s="159"/>
      <c r="E41" s="159"/>
      <c r="F41" s="159"/>
      <c r="G41" s="159"/>
      <c r="H41" s="159"/>
      <c r="I41" s="159"/>
      <c r="J41" s="159"/>
      <c r="K41" s="159"/>
      <c r="L41" s="159"/>
    </row>
    <row r="42" spans="2:12" ht="13.5" customHeight="1">
      <c r="B42" s="64"/>
      <c r="C42" s="163" t="s">
        <v>166</v>
      </c>
      <c r="D42" s="164">
        <v>9.1</v>
      </c>
      <c r="E42" s="164">
        <v>12.2</v>
      </c>
      <c r="F42" s="164">
        <v>7.3</v>
      </c>
      <c r="G42" s="164">
        <v>8</v>
      </c>
      <c r="H42" s="164">
        <v>11</v>
      </c>
      <c r="I42" s="164">
        <v>6.3</v>
      </c>
      <c r="J42" s="164">
        <v>20.9</v>
      </c>
      <c r="K42" s="164">
        <v>25.9</v>
      </c>
      <c r="L42" s="164">
        <v>17.8</v>
      </c>
    </row>
    <row r="43" spans="2:12" ht="13.5" customHeight="1">
      <c r="B43" s="11"/>
      <c r="C43" s="157" t="s">
        <v>252</v>
      </c>
      <c r="D43" s="48">
        <v>9.1</v>
      </c>
      <c r="E43" s="48">
        <v>12.1</v>
      </c>
      <c r="F43" s="48">
        <v>7.4</v>
      </c>
      <c r="G43" s="48">
        <v>8.1999999999999993</v>
      </c>
      <c r="H43" s="48">
        <v>11</v>
      </c>
      <c r="I43" s="48">
        <v>6.5</v>
      </c>
      <c r="J43" s="48">
        <v>19.399999999999999</v>
      </c>
      <c r="K43" s="48">
        <v>23.8</v>
      </c>
      <c r="L43" s="48">
        <v>16.600000000000001</v>
      </c>
    </row>
    <row r="44" spans="2:12" ht="13.5" customHeight="1">
      <c r="B44" s="11"/>
      <c r="C44" s="157" t="s">
        <v>253</v>
      </c>
      <c r="D44" s="48">
        <v>9.4</v>
      </c>
      <c r="E44" s="48">
        <v>12.6</v>
      </c>
      <c r="F44" s="48">
        <v>7.5</v>
      </c>
      <c r="G44" s="48">
        <v>8.3000000000000007</v>
      </c>
      <c r="H44" s="48">
        <v>11.5</v>
      </c>
      <c r="I44" s="48">
        <v>6.6</v>
      </c>
      <c r="J44" s="48">
        <v>20</v>
      </c>
      <c r="K44" s="48">
        <v>24.2</v>
      </c>
      <c r="L44" s="48">
        <v>17.399999999999999</v>
      </c>
    </row>
    <row r="45" spans="2:12" ht="13.5" customHeight="1">
      <c r="B45" s="11"/>
      <c r="C45" s="157" t="s">
        <v>254</v>
      </c>
      <c r="D45" s="48">
        <v>9.6</v>
      </c>
      <c r="E45" s="48">
        <v>12.6</v>
      </c>
      <c r="F45" s="48">
        <v>8</v>
      </c>
      <c r="G45" s="48">
        <v>8.6999999999999993</v>
      </c>
      <c r="H45" s="48">
        <v>11.5</v>
      </c>
      <c r="I45" s="48">
        <v>7.1</v>
      </c>
      <c r="J45" s="48">
        <v>19.7</v>
      </c>
      <c r="K45" s="48">
        <v>24</v>
      </c>
      <c r="L45" s="48">
        <v>17.100000000000001</v>
      </c>
    </row>
    <row r="46" spans="2:12" ht="13.5" customHeight="1">
      <c r="B46" s="11"/>
      <c r="C46" s="157" t="s">
        <v>255</v>
      </c>
      <c r="D46" s="48">
        <v>10</v>
      </c>
      <c r="E46" s="48">
        <v>13.4</v>
      </c>
      <c r="F46" s="48">
        <v>8.1</v>
      </c>
      <c r="G46" s="48">
        <v>9</v>
      </c>
      <c r="H46" s="48">
        <v>12.3</v>
      </c>
      <c r="I46" s="48">
        <v>7.2</v>
      </c>
      <c r="J46" s="48">
        <v>20.8</v>
      </c>
      <c r="K46" s="48">
        <v>24.8</v>
      </c>
      <c r="L46" s="48">
        <v>18.399999999999999</v>
      </c>
    </row>
    <row r="47" spans="2:12" ht="13.5" customHeight="1">
      <c r="B47" s="156"/>
      <c r="C47" s="157" t="s">
        <v>256</v>
      </c>
      <c r="D47" s="48">
        <v>10.4</v>
      </c>
      <c r="E47" s="48">
        <v>13.8</v>
      </c>
      <c r="F47" s="48">
        <v>8.5</v>
      </c>
      <c r="G47" s="48">
        <v>9.3000000000000007</v>
      </c>
      <c r="H47" s="48">
        <v>12.6</v>
      </c>
      <c r="I47" s="48">
        <v>7.5</v>
      </c>
      <c r="J47" s="48">
        <v>22.7</v>
      </c>
      <c r="K47" s="48">
        <v>27.7</v>
      </c>
      <c r="L47" s="48">
        <v>19.7</v>
      </c>
    </row>
    <row r="48" spans="2:12" ht="13.5" customHeight="1">
      <c r="B48" s="165"/>
      <c r="C48" s="157" t="s">
        <v>257</v>
      </c>
      <c r="D48" s="48">
        <v>10.4</v>
      </c>
      <c r="E48" s="48">
        <v>14</v>
      </c>
      <c r="F48" s="48">
        <v>8.4</v>
      </c>
      <c r="G48" s="48">
        <v>9.3000000000000007</v>
      </c>
      <c r="H48" s="48">
        <v>12.8</v>
      </c>
      <c r="I48" s="48">
        <v>7.4</v>
      </c>
      <c r="J48" s="48">
        <v>22.2</v>
      </c>
      <c r="K48" s="48">
        <v>27.6</v>
      </c>
      <c r="L48" s="48">
        <v>18.899999999999999</v>
      </c>
    </row>
    <row r="49" spans="2:12" ht="13.5" customHeight="1">
      <c r="B49" s="156" t="s">
        <v>54</v>
      </c>
      <c r="C49" s="157" t="s">
        <v>258</v>
      </c>
      <c r="D49" s="48">
        <v>10.4</v>
      </c>
      <c r="E49" s="48">
        <v>13.8</v>
      </c>
      <c r="F49" s="48">
        <v>8.5</v>
      </c>
      <c r="G49" s="48">
        <v>9.3000000000000007</v>
      </c>
      <c r="H49" s="48">
        <v>12.7</v>
      </c>
      <c r="I49" s="48">
        <v>7.5</v>
      </c>
      <c r="J49" s="48">
        <v>21.5</v>
      </c>
      <c r="K49" s="48">
        <v>26.5</v>
      </c>
      <c r="L49" s="48">
        <v>18.5</v>
      </c>
    </row>
    <row r="50" spans="2:12" ht="13.5" customHeight="1">
      <c r="B50" s="165" t="s">
        <v>55</v>
      </c>
      <c r="C50" s="157" t="s">
        <v>259</v>
      </c>
      <c r="D50" s="160">
        <v>10.4</v>
      </c>
      <c r="E50" s="48">
        <v>13.6</v>
      </c>
      <c r="F50" s="48">
        <v>8.6</v>
      </c>
      <c r="G50" s="48">
        <v>9.1999999999999993</v>
      </c>
      <c r="H50" s="48">
        <v>12.5</v>
      </c>
      <c r="I50" s="48">
        <v>7.5</v>
      </c>
      <c r="J50" s="48">
        <v>22.1</v>
      </c>
      <c r="K50" s="48">
        <v>26</v>
      </c>
      <c r="L50" s="48">
        <v>19.8</v>
      </c>
    </row>
    <row r="51" spans="2:12" ht="13.5" customHeight="1">
      <c r="B51" s="11"/>
      <c r="C51" s="157" t="s">
        <v>260</v>
      </c>
      <c r="D51" s="48">
        <v>9.6</v>
      </c>
      <c r="E51" s="48">
        <v>12.5</v>
      </c>
      <c r="F51" s="48">
        <v>7.9</v>
      </c>
      <c r="G51" s="48">
        <v>8.4</v>
      </c>
      <c r="H51" s="48">
        <v>11.2</v>
      </c>
      <c r="I51" s="48">
        <v>6.9</v>
      </c>
      <c r="J51" s="48">
        <v>21.6</v>
      </c>
      <c r="K51" s="48">
        <v>27.1</v>
      </c>
      <c r="L51" s="48">
        <v>18.2</v>
      </c>
    </row>
    <row r="52" spans="2:12" ht="13.5" customHeight="1">
      <c r="B52" s="11"/>
      <c r="C52" s="157" t="s">
        <v>167</v>
      </c>
      <c r="D52" s="48">
        <v>9.3000000000000007</v>
      </c>
      <c r="E52" s="48">
        <v>12.1</v>
      </c>
      <c r="F52" s="48">
        <v>7.7</v>
      </c>
      <c r="G52" s="48">
        <v>8.3000000000000007</v>
      </c>
      <c r="H52" s="48">
        <v>11</v>
      </c>
      <c r="I52" s="48">
        <v>6.8</v>
      </c>
      <c r="J52" s="48">
        <v>19.8</v>
      </c>
      <c r="K52" s="48">
        <v>24.1</v>
      </c>
      <c r="L52" s="48">
        <v>17.3</v>
      </c>
    </row>
    <row r="53" spans="2:12" ht="13.5" customHeight="1">
      <c r="B53" s="11"/>
      <c r="C53" s="157" t="s">
        <v>168</v>
      </c>
      <c r="D53" s="48">
        <v>9.3000000000000007</v>
      </c>
      <c r="E53" s="48">
        <v>12.2</v>
      </c>
      <c r="F53" s="48">
        <v>7.6</v>
      </c>
      <c r="G53" s="48">
        <v>8.3000000000000007</v>
      </c>
      <c r="H53" s="48">
        <v>11.2</v>
      </c>
      <c r="I53" s="48">
        <v>6.8</v>
      </c>
      <c r="J53" s="48">
        <v>19.5</v>
      </c>
      <c r="K53" s="48">
        <v>23.8</v>
      </c>
      <c r="L53" s="48">
        <v>16.7</v>
      </c>
    </row>
    <row r="54" spans="2:12" ht="13.5" customHeight="1">
      <c r="B54" s="11"/>
      <c r="C54" s="157">
        <v>1992</v>
      </c>
      <c r="D54" s="48">
        <v>9.4</v>
      </c>
      <c r="E54" s="48">
        <v>12.5</v>
      </c>
      <c r="F54" s="48">
        <v>7.7</v>
      </c>
      <c r="G54" s="48">
        <v>8.5</v>
      </c>
      <c r="H54" s="48">
        <v>11.5</v>
      </c>
      <c r="I54" s="48">
        <v>6.9</v>
      </c>
      <c r="J54" s="48">
        <v>19.3</v>
      </c>
      <c r="K54" s="48">
        <v>23.9</v>
      </c>
      <c r="L54" s="48">
        <v>16.600000000000001</v>
      </c>
    </row>
    <row r="55" spans="2:12" ht="13.5" customHeight="1">
      <c r="B55" s="11"/>
      <c r="C55" s="158" t="s">
        <v>170</v>
      </c>
      <c r="D55" s="48">
        <v>9.6999999999999993</v>
      </c>
      <c r="E55" s="159">
        <v>12.6</v>
      </c>
      <c r="F55" s="159">
        <v>8.1</v>
      </c>
      <c r="G55" s="159">
        <v>8.6999999999999993</v>
      </c>
      <c r="H55" s="159">
        <v>11.6</v>
      </c>
      <c r="I55" s="159">
        <v>7.2</v>
      </c>
      <c r="J55" s="159">
        <v>19.899999999999999</v>
      </c>
      <c r="K55" s="159">
        <v>23.6</v>
      </c>
      <c r="L55" s="159">
        <v>17.7</v>
      </c>
    </row>
    <row r="56" spans="2:12" ht="13.5" customHeight="1">
      <c r="B56" s="166"/>
      <c r="C56" s="157">
        <v>1994</v>
      </c>
      <c r="D56" s="159">
        <v>9.4</v>
      </c>
      <c r="E56" s="167">
        <v>12</v>
      </c>
      <c r="F56" s="167">
        <v>7.9</v>
      </c>
      <c r="G56" s="167">
        <v>8.5</v>
      </c>
      <c r="H56" s="167">
        <v>11.2</v>
      </c>
      <c r="I56" s="167">
        <v>7.1</v>
      </c>
      <c r="J56" s="167">
        <v>18.899999999999999</v>
      </c>
      <c r="K56" s="167">
        <v>21.6</v>
      </c>
      <c r="L56" s="167">
        <v>17</v>
      </c>
    </row>
    <row r="57" spans="2:12" s="14" customFormat="1" ht="13.5" customHeight="1">
      <c r="B57" s="166"/>
      <c r="C57" s="158" t="s">
        <v>56</v>
      </c>
      <c r="D57" s="159">
        <v>9.5</v>
      </c>
      <c r="E57" s="168">
        <v>12.3</v>
      </c>
      <c r="F57" s="168">
        <v>7.9</v>
      </c>
      <c r="G57" s="168">
        <v>8.6</v>
      </c>
      <c r="H57" s="168">
        <v>11.3</v>
      </c>
      <c r="I57" s="168">
        <v>7</v>
      </c>
      <c r="J57" s="168">
        <v>19.5</v>
      </c>
      <c r="K57" s="168">
        <v>23.2</v>
      </c>
      <c r="L57" s="168">
        <v>17.2</v>
      </c>
    </row>
    <row r="58" spans="2:12" ht="13.5" customHeight="1">
      <c r="B58" s="166"/>
      <c r="C58" s="158" t="s">
        <v>57</v>
      </c>
      <c r="D58" s="159">
        <v>9.6</v>
      </c>
      <c r="E58" s="168">
        <v>12.2</v>
      </c>
      <c r="F58" s="168">
        <v>8</v>
      </c>
      <c r="G58" s="168">
        <v>8.6</v>
      </c>
      <c r="H58" s="168">
        <v>11.3</v>
      </c>
      <c r="I58" s="168">
        <v>7.1</v>
      </c>
      <c r="J58" s="168">
        <v>19.100000000000001</v>
      </c>
      <c r="K58" s="168">
        <v>22.2</v>
      </c>
      <c r="L58" s="168">
        <v>17</v>
      </c>
    </row>
    <row r="59" spans="2:12" ht="13.5" customHeight="1">
      <c r="B59" s="166"/>
      <c r="C59" s="158" t="s">
        <v>58</v>
      </c>
      <c r="D59" s="159">
        <v>9.8000000000000007</v>
      </c>
      <c r="E59" s="168">
        <v>12.4</v>
      </c>
      <c r="F59" s="168">
        <v>8.1999999999999993</v>
      </c>
      <c r="G59" s="168">
        <v>8.9</v>
      </c>
      <c r="H59" s="168">
        <v>11.6</v>
      </c>
      <c r="I59" s="168">
        <v>7.4</v>
      </c>
      <c r="J59" s="168">
        <v>19.2</v>
      </c>
      <c r="K59" s="168">
        <v>22.8</v>
      </c>
      <c r="L59" s="168">
        <v>17</v>
      </c>
    </row>
    <row r="60" spans="2:12" ht="13.5" customHeight="1">
      <c r="B60" s="166"/>
      <c r="C60" s="158" t="s">
        <v>59</v>
      </c>
      <c r="D60" s="159">
        <v>9.8000000000000007</v>
      </c>
      <c r="E60" s="168">
        <v>12.4</v>
      </c>
      <c r="F60" s="168">
        <v>8.3000000000000007</v>
      </c>
      <c r="G60" s="168">
        <v>9</v>
      </c>
      <c r="H60" s="168">
        <v>11.7</v>
      </c>
      <c r="I60" s="168">
        <v>7.4</v>
      </c>
      <c r="J60" s="168">
        <v>19.100000000000001</v>
      </c>
      <c r="K60" s="168">
        <v>21.9</v>
      </c>
      <c r="L60" s="168">
        <v>17.3</v>
      </c>
    </row>
    <row r="61" spans="2:12" ht="13.5" customHeight="1">
      <c r="B61" s="166"/>
      <c r="C61" s="157">
        <v>1999</v>
      </c>
      <c r="D61" s="127">
        <v>13.1</v>
      </c>
      <c r="E61" s="168">
        <v>16.2</v>
      </c>
      <c r="F61" s="168">
        <v>11.2</v>
      </c>
      <c r="G61" s="168">
        <v>11.6</v>
      </c>
      <c r="H61" s="168">
        <v>14.8</v>
      </c>
      <c r="I61" s="168">
        <v>9.6999999999999993</v>
      </c>
      <c r="J61" s="168">
        <v>28.6</v>
      </c>
      <c r="K61" s="168">
        <v>32.9</v>
      </c>
      <c r="L61" s="168">
        <v>26</v>
      </c>
    </row>
    <row r="62" spans="2:12" ht="13.5" customHeight="1">
      <c r="B62" s="166"/>
      <c r="C62" s="8">
        <v>2000</v>
      </c>
      <c r="D62" s="127">
        <v>13.5</v>
      </c>
      <c r="E62" s="127">
        <v>16.600000000000001</v>
      </c>
      <c r="F62" s="127">
        <v>11.6</v>
      </c>
      <c r="G62" s="127">
        <v>12.1</v>
      </c>
      <c r="H62" s="127">
        <v>15.3</v>
      </c>
      <c r="I62" s="127">
        <v>10.1</v>
      </c>
      <c r="J62" s="127">
        <v>28.8</v>
      </c>
      <c r="K62" s="127">
        <v>32.299999999999997</v>
      </c>
      <c r="L62" s="127">
        <v>26.5</v>
      </c>
    </row>
    <row r="63" spans="2:12" ht="13.5" customHeight="1">
      <c r="B63" s="166"/>
      <c r="C63" s="8">
        <v>2001</v>
      </c>
      <c r="D63" s="127">
        <v>14</v>
      </c>
      <c r="E63" s="127">
        <v>17.399999999999999</v>
      </c>
      <c r="F63" s="127">
        <v>12</v>
      </c>
      <c r="G63" s="127">
        <v>12.5</v>
      </c>
      <c r="H63" s="127">
        <v>16</v>
      </c>
      <c r="I63" s="127">
        <v>10.5</v>
      </c>
      <c r="J63" s="127">
        <v>29.5</v>
      </c>
      <c r="K63" s="127">
        <v>33.799999999999997</v>
      </c>
      <c r="L63" s="127">
        <v>27.1</v>
      </c>
    </row>
    <row r="64" spans="2:12" ht="13.5" customHeight="1">
      <c r="B64" s="166"/>
      <c r="C64" s="8">
        <v>2002</v>
      </c>
      <c r="D64" s="127">
        <v>14.2</v>
      </c>
      <c r="E64" s="127">
        <v>17.600000000000001</v>
      </c>
      <c r="F64" s="127">
        <v>12.1</v>
      </c>
      <c r="G64" s="127">
        <v>12.7</v>
      </c>
      <c r="H64" s="127">
        <v>16.100000000000001</v>
      </c>
      <c r="I64" s="127">
        <v>10.7</v>
      </c>
      <c r="J64" s="127">
        <v>29.7</v>
      </c>
      <c r="K64" s="127">
        <v>35.299999999999997</v>
      </c>
      <c r="L64" s="127">
        <v>26.3</v>
      </c>
    </row>
    <row r="65" spans="2:12" ht="13.5" customHeight="1">
      <c r="B65" s="166"/>
      <c r="C65" s="8">
        <v>2003</v>
      </c>
      <c r="D65" s="127">
        <v>14.4</v>
      </c>
      <c r="E65" s="127">
        <v>17.8</v>
      </c>
      <c r="F65" s="127">
        <v>12.4</v>
      </c>
      <c r="G65" s="127">
        <v>13</v>
      </c>
      <c r="H65" s="127">
        <v>16.3</v>
      </c>
      <c r="I65" s="127">
        <v>10.9</v>
      </c>
      <c r="J65" s="127">
        <v>30.4</v>
      </c>
      <c r="K65" s="127">
        <v>36.1</v>
      </c>
      <c r="L65" s="127">
        <v>26.8</v>
      </c>
    </row>
    <row r="66" spans="2:12" ht="13.5" customHeight="1">
      <c r="B66" s="166"/>
      <c r="C66" s="8">
        <v>2004</v>
      </c>
      <c r="D66" s="127">
        <v>14.2</v>
      </c>
      <c r="E66" s="127">
        <v>17.3</v>
      </c>
      <c r="F66" s="127">
        <v>12.3</v>
      </c>
      <c r="G66" s="127">
        <v>12.8</v>
      </c>
      <c r="H66" s="127">
        <v>15.9</v>
      </c>
      <c r="I66" s="127">
        <v>10.8</v>
      </c>
      <c r="J66" s="127">
        <v>29.6</v>
      </c>
      <c r="K66" s="127">
        <v>34.200000000000003</v>
      </c>
      <c r="L66" s="127">
        <v>26.7</v>
      </c>
    </row>
    <row r="67" spans="2:12" ht="13.5" customHeight="1">
      <c r="B67" s="166"/>
      <c r="C67" s="8">
        <v>2005</v>
      </c>
      <c r="D67" s="127">
        <v>14.3</v>
      </c>
      <c r="E67" s="127">
        <v>17.5</v>
      </c>
      <c r="F67" s="127">
        <v>12.3</v>
      </c>
      <c r="G67" s="127">
        <v>12.9</v>
      </c>
      <c r="H67" s="127">
        <v>16.2</v>
      </c>
      <c r="I67" s="127">
        <v>10.8</v>
      </c>
      <c r="J67" s="127">
        <v>29.7</v>
      </c>
      <c r="K67" s="127">
        <v>34.1</v>
      </c>
      <c r="L67" s="127">
        <v>26.9</v>
      </c>
    </row>
    <row r="68" spans="2:12" ht="13.5" customHeight="1">
      <c r="B68" s="166"/>
      <c r="C68" s="8">
        <v>2006</v>
      </c>
      <c r="D68" s="127">
        <v>14.5</v>
      </c>
      <c r="E68" s="127">
        <v>17.8</v>
      </c>
      <c r="F68" s="127">
        <v>12.4</v>
      </c>
      <c r="G68" s="127">
        <v>13</v>
      </c>
      <c r="H68" s="127">
        <v>16.3</v>
      </c>
      <c r="I68" s="127">
        <v>10.8</v>
      </c>
      <c r="J68" s="127">
        <v>30.2</v>
      </c>
      <c r="K68" s="127">
        <v>35</v>
      </c>
      <c r="L68" s="127">
        <v>27.2</v>
      </c>
    </row>
    <row r="69" spans="2:12" ht="13.5" customHeight="1">
      <c r="B69" s="166"/>
      <c r="C69" s="8">
        <v>2007</v>
      </c>
      <c r="D69" s="127">
        <v>14.5</v>
      </c>
      <c r="E69" s="127">
        <v>17.8</v>
      </c>
      <c r="F69" s="127">
        <v>12.5</v>
      </c>
      <c r="G69" s="127">
        <v>13.2</v>
      </c>
      <c r="H69" s="127">
        <v>16.5</v>
      </c>
      <c r="I69" s="127">
        <v>11</v>
      </c>
      <c r="J69" s="127">
        <v>29.4</v>
      </c>
      <c r="K69" s="127">
        <v>33.700000000000003</v>
      </c>
      <c r="L69" s="127">
        <v>26.7</v>
      </c>
    </row>
    <row r="70" spans="2:12" ht="13.5" customHeight="1">
      <c r="B70" s="166"/>
      <c r="C70" s="8">
        <v>2008</v>
      </c>
      <c r="D70" s="127">
        <v>14.8</v>
      </c>
      <c r="E70" s="127">
        <v>18</v>
      </c>
      <c r="F70" s="127">
        <v>12.6</v>
      </c>
      <c r="G70" s="127">
        <v>13.4</v>
      </c>
      <c r="H70" s="127">
        <v>16.7</v>
      </c>
      <c r="I70" s="127">
        <v>11.2</v>
      </c>
      <c r="J70" s="127">
        <v>29.4</v>
      </c>
      <c r="K70" s="127">
        <v>33.700000000000003</v>
      </c>
      <c r="L70" s="127">
        <v>26.4</v>
      </c>
    </row>
    <row r="71" spans="2:12" ht="13.5" customHeight="1">
      <c r="B71" s="166"/>
      <c r="C71" s="8">
        <v>2009</v>
      </c>
      <c r="D71" s="127">
        <v>14.9</v>
      </c>
      <c r="E71" s="127">
        <v>18.3</v>
      </c>
      <c r="F71" s="127">
        <v>12.7</v>
      </c>
      <c r="G71" s="127">
        <v>13.4</v>
      </c>
      <c r="H71" s="127">
        <v>16.899999999999999</v>
      </c>
      <c r="I71" s="127">
        <v>11.2</v>
      </c>
      <c r="J71" s="127">
        <v>30.2</v>
      </c>
      <c r="K71" s="127">
        <v>35.1</v>
      </c>
      <c r="L71" s="127">
        <v>27.2</v>
      </c>
    </row>
    <row r="72" spans="2:12" ht="13.5" customHeight="1">
      <c r="B72" s="166"/>
      <c r="C72" s="8">
        <v>2010</v>
      </c>
      <c r="D72" s="127">
        <v>15.3</v>
      </c>
      <c r="E72" s="127">
        <v>18.7</v>
      </c>
      <c r="F72" s="127">
        <v>13</v>
      </c>
      <c r="G72" s="127">
        <v>14</v>
      </c>
      <c r="H72" s="127">
        <v>17.5</v>
      </c>
      <c r="I72" s="127">
        <v>11.6</v>
      </c>
      <c r="J72" s="127">
        <v>29.3</v>
      </c>
      <c r="K72" s="127">
        <v>34</v>
      </c>
      <c r="L72" s="127">
        <v>26.4</v>
      </c>
    </row>
    <row r="73" spans="2:12" ht="13.5" customHeight="1">
      <c r="B73" s="166"/>
      <c r="C73" s="8">
        <v>2011</v>
      </c>
      <c r="D73" s="127">
        <v>13.4</v>
      </c>
      <c r="E73" s="127">
        <v>16.5</v>
      </c>
      <c r="F73" s="127">
        <v>11.4</v>
      </c>
      <c r="G73" s="127">
        <v>12.2</v>
      </c>
      <c r="H73" s="127">
        <v>15.3</v>
      </c>
      <c r="I73" s="127">
        <v>10.199999999999999</v>
      </c>
      <c r="J73" s="127">
        <v>25.9</v>
      </c>
      <c r="K73" s="127">
        <v>30.3</v>
      </c>
      <c r="L73" s="127">
        <v>23</v>
      </c>
    </row>
    <row r="74" spans="2:12" ht="13.5" customHeight="1">
      <c r="B74" s="166"/>
      <c r="C74" s="8">
        <v>2012</v>
      </c>
      <c r="D74" s="127">
        <v>13.1</v>
      </c>
      <c r="E74" s="127">
        <v>16</v>
      </c>
      <c r="F74" s="127">
        <v>11.1</v>
      </c>
      <c r="G74" s="127">
        <v>12</v>
      </c>
      <c r="H74" s="127">
        <v>14.9</v>
      </c>
      <c r="I74" s="127">
        <v>10</v>
      </c>
      <c r="J74" s="127">
        <v>25.2</v>
      </c>
      <c r="K74" s="127">
        <v>29.6</v>
      </c>
      <c r="L74" s="127">
        <v>22.4</v>
      </c>
    </row>
    <row r="75" spans="2:12" ht="13.5" customHeight="1">
      <c r="B75" s="171"/>
      <c r="C75" s="6"/>
      <c r="D75" s="175"/>
      <c r="E75" s="175"/>
      <c r="F75" s="175"/>
      <c r="G75" s="175"/>
      <c r="H75" s="175"/>
      <c r="I75" s="175"/>
      <c r="J75" s="175"/>
      <c r="K75" s="175"/>
      <c r="L75" s="175"/>
    </row>
    <row r="76" spans="2:12" ht="27.75" customHeight="1">
      <c r="B76" s="347" t="s">
        <v>613</v>
      </c>
      <c r="C76" s="348"/>
      <c r="D76" s="348"/>
      <c r="E76" s="348"/>
      <c r="F76" s="348"/>
      <c r="G76" s="348"/>
      <c r="H76" s="348"/>
      <c r="I76" s="348"/>
      <c r="J76" s="348"/>
      <c r="K76" s="348"/>
      <c r="L76" s="348"/>
    </row>
    <row r="77" spans="2:12" ht="58.5" customHeight="1">
      <c r="B77" s="347" t="s">
        <v>60</v>
      </c>
      <c r="C77" s="348"/>
      <c r="D77" s="348"/>
      <c r="E77" s="348"/>
      <c r="F77" s="348"/>
      <c r="G77" s="348"/>
      <c r="H77" s="348"/>
      <c r="I77" s="348"/>
      <c r="J77" s="348"/>
      <c r="K77" s="348"/>
      <c r="L77" s="348"/>
    </row>
    <row r="78" spans="2:12" ht="84" customHeight="1">
      <c r="B78" s="347" t="s">
        <v>124</v>
      </c>
      <c r="C78" s="348"/>
      <c r="D78" s="348"/>
      <c r="E78" s="348"/>
      <c r="F78" s="348"/>
      <c r="G78" s="348"/>
      <c r="H78" s="348"/>
      <c r="I78" s="348"/>
      <c r="J78" s="348"/>
      <c r="K78" s="348"/>
      <c r="L78" s="348"/>
    </row>
    <row r="79" spans="2:12" ht="27.75" customHeight="1">
      <c r="B79" s="347" t="s">
        <v>62</v>
      </c>
      <c r="C79" s="348"/>
      <c r="D79" s="348"/>
      <c r="E79" s="348"/>
      <c r="F79" s="348"/>
      <c r="G79" s="348"/>
      <c r="H79" s="348"/>
      <c r="I79" s="348"/>
      <c r="J79" s="348"/>
      <c r="K79" s="348"/>
      <c r="L79" s="348"/>
    </row>
  </sheetData>
  <mergeCells count="6">
    <mergeCell ref="B78:L78"/>
    <mergeCell ref="B79:L79"/>
    <mergeCell ref="B5:B6"/>
    <mergeCell ref="C5:C6"/>
    <mergeCell ref="B76:L76"/>
    <mergeCell ref="B77:L77"/>
  </mergeCells>
  <phoneticPr fontId="1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52"/>
    </row>
    <row r="2" spans="1:12" ht="15.75">
      <c r="B2" s="5" t="s">
        <v>120</v>
      </c>
      <c r="C2" s="4"/>
      <c r="D2" s="4"/>
      <c r="E2" s="4"/>
      <c r="F2" s="4"/>
      <c r="G2" s="4"/>
      <c r="H2" s="4"/>
      <c r="I2" s="4"/>
      <c r="J2" s="4"/>
      <c r="K2" s="4"/>
      <c r="L2" s="4"/>
    </row>
    <row r="3" spans="1:12">
      <c r="B3" s="3" t="s">
        <v>576</v>
      </c>
      <c r="C3" s="4"/>
      <c r="D3" s="4"/>
      <c r="E3" s="4"/>
      <c r="F3" s="4"/>
      <c r="G3" s="4"/>
      <c r="H3" s="4"/>
      <c r="I3" s="4"/>
      <c r="J3" s="4"/>
      <c r="K3" s="4"/>
      <c r="L3" s="4"/>
    </row>
    <row r="4" spans="1:12">
      <c r="B4" s="282" t="s">
        <v>51</v>
      </c>
      <c r="C4" s="282" t="s">
        <v>157</v>
      </c>
      <c r="D4" s="153" t="s">
        <v>544</v>
      </c>
      <c r="E4" s="58"/>
      <c r="F4" s="135"/>
      <c r="G4" s="154" t="s">
        <v>545</v>
      </c>
      <c r="H4" s="58"/>
      <c r="I4" s="135"/>
      <c r="J4" s="154" t="s">
        <v>546</v>
      </c>
      <c r="K4" s="58"/>
      <c r="L4" s="135"/>
    </row>
    <row r="5" spans="1:12">
      <c r="B5" s="283"/>
      <c r="C5" s="283"/>
      <c r="D5" s="155" t="s">
        <v>435</v>
      </c>
      <c r="E5" s="155" t="s">
        <v>550</v>
      </c>
      <c r="F5" s="155" t="s">
        <v>551</v>
      </c>
      <c r="G5" s="155" t="s">
        <v>435</v>
      </c>
      <c r="H5" s="155" t="s">
        <v>550</v>
      </c>
      <c r="I5" s="155" t="s">
        <v>551</v>
      </c>
      <c r="J5" s="155" t="s">
        <v>435</v>
      </c>
      <c r="K5" s="155" t="s">
        <v>550</v>
      </c>
      <c r="L5" s="155" t="s">
        <v>551</v>
      </c>
    </row>
    <row r="6" spans="1:12">
      <c r="B6" s="11"/>
      <c r="C6" s="157" t="s">
        <v>166</v>
      </c>
      <c r="D6" s="174">
        <v>19.399999999999999</v>
      </c>
      <c r="E6" s="174">
        <v>27.7</v>
      </c>
      <c r="F6" s="174">
        <v>11.7</v>
      </c>
      <c r="G6" s="174">
        <v>20.100000000000001</v>
      </c>
      <c r="H6" s="174">
        <v>28.3</v>
      </c>
      <c r="I6" s="174">
        <v>12.5</v>
      </c>
      <c r="J6" s="174">
        <v>15.2</v>
      </c>
      <c r="K6" s="174">
        <v>26.5</v>
      </c>
      <c r="L6" s="174">
        <v>5.7</v>
      </c>
    </row>
    <row r="7" spans="1:12">
      <c r="B7" s="11"/>
      <c r="C7" s="157" t="s">
        <v>252</v>
      </c>
      <c r="D7" s="160">
        <v>18.3</v>
      </c>
      <c r="E7" s="160">
        <v>27.5</v>
      </c>
      <c r="F7" s="160">
        <v>10</v>
      </c>
      <c r="G7" s="160">
        <v>19.2</v>
      </c>
      <c r="H7" s="160">
        <v>28.6</v>
      </c>
      <c r="I7" s="160">
        <v>10.6</v>
      </c>
      <c r="J7" s="160">
        <v>12.6</v>
      </c>
      <c r="K7" s="160">
        <v>20.5</v>
      </c>
      <c r="L7" s="160">
        <v>6</v>
      </c>
    </row>
    <row r="8" spans="1:12">
      <c r="B8" s="11"/>
      <c r="C8" s="157" t="s">
        <v>253</v>
      </c>
      <c r="D8" s="160">
        <v>16.600000000000001</v>
      </c>
      <c r="E8" s="160">
        <v>24.4</v>
      </c>
      <c r="F8" s="160">
        <v>9.6</v>
      </c>
      <c r="G8" s="160">
        <v>17.600000000000001</v>
      </c>
      <c r="H8" s="160">
        <v>25.7</v>
      </c>
      <c r="I8" s="160">
        <v>10.199999999999999</v>
      </c>
      <c r="J8" s="160">
        <v>10.3</v>
      </c>
      <c r="K8" s="160">
        <v>16.7</v>
      </c>
      <c r="L8" s="160">
        <v>5</v>
      </c>
    </row>
    <row r="9" spans="1:12">
      <c r="B9" s="11"/>
      <c r="C9" s="157" t="s">
        <v>254</v>
      </c>
      <c r="D9" s="160">
        <v>15.3</v>
      </c>
      <c r="E9" s="160">
        <v>22.9</v>
      </c>
      <c r="F9" s="160">
        <v>8.4</v>
      </c>
      <c r="G9" s="160">
        <v>15.9</v>
      </c>
      <c r="H9" s="160">
        <v>23.8</v>
      </c>
      <c r="I9" s="160">
        <v>8.8000000000000007</v>
      </c>
      <c r="J9" s="160">
        <v>11.1</v>
      </c>
      <c r="K9" s="160">
        <v>17.600000000000001</v>
      </c>
      <c r="L9" s="160">
        <v>5.7</v>
      </c>
    </row>
    <row r="10" spans="1:12">
      <c r="B10" s="11"/>
      <c r="C10" s="157" t="s">
        <v>255</v>
      </c>
      <c r="D10" s="160">
        <v>17.399999999999999</v>
      </c>
      <c r="E10" s="160">
        <v>25.3</v>
      </c>
      <c r="F10" s="160">
        <v>10.1</v>
      </c>
      <c r="G10" s="160">
        <v>18</v>
      </c>
      <c r="H10" s="160">
        <v>25.9</v>
      </c>
      <c r="I10" s="160">
        <v>10.7</v>
      </c>
      <c r="J10" s="160">
        <v>14.3</v>
      </c>
      <c r="K10" s="160">
        <v>23.5</v>
      </c>
      <c r="L10" s="160">
        <v>6.6</v>
      </c>
    </row>
    <row r="11" spans="1:12" ht="15.75">
      <c r="B11" s="156"/>
      <c r="C11" s="157" t="s">
        <v>256</v>
      </c>
      <c r="D11" s="160">
        <v>18.100000000000001</v>
      </c>
      <c r="E11" s="160">
        <v>25.9</v>
      </c>
      <c r="F11" s="160">
        <v>11</v>
      </c>
      <c r="G11" s="160">
        <v>18.399999999999999</v>
      </c>
      <c r="H11" s="160">
        <v>25.9</v>
      </c>
      <c r="I11" s="160">
        <v>11.5</v>
      </c>
      <c r="J11" s="160">
        <v>17.3</v>
      </c>
      <c r="K11" s="160">
        <v>29.2</v>
      </c>
      <c r="L11" s="160">
        <v>7.8</v>
      </c>
    </row>
    <row r="12" spans="1:12">
      <c r="B12" s="11"/>
      <c r="C12" s="157" t="s">
        <v>257</v>
      </c>
      <c r="D12" s="160">
        <v>18.399999999999999</v>
      </c>
      <c r="E12" s="160">
        <v>26.1</v>
      </c>
      <c r="F12" s="160">
        <v>11.5</v>
      </c>
      <c r="G12" s="160">
        <v>19.2</v>
      </c>
      <c r="H12" s="160">
        <v>26.6</v>
      </c>
      <c r="I12" s="160">
        <v>12.3</v>
      </c>
      <c r="J12" s="160">
        <v>15.3</v>
      </c>
      <c r="K12" s="160">
        <v>26.1</v>
      </c>
      <c r="L12" s="160">
        <v>6.7</v>
      </c>
    </row>
    <row r="13" spans="1:12">
      <c r="B13" s="11"/>
      <c r="C13" s="157" t="s">
        <v>258</v>
      </c>
      <c r="D13" s="160">
        <v>18.2</v>
      </c>
      <c r="E13" s="160">
        <v>25.9</v>
      </c>
      <c r="F13" s="160">
        <v>11.3</v>
      </c>
      <c r="G13" s="160">
        <v>19</v>
      </c>
      <c r="H13" s="160">
        <v>26.9</v>
      </c>
      <c r="I13" s="160">
        <v>11.8</v>
      </c>
      <c r="J13" s="160">
        <v>13.8</v>
      </c>
      <c r="K13" s="160">
        <v>20.5</v>
      </c>
      <c r="L13" s="160">
        <v>8.4</v>
      </c>
    </row>
    <row r="14" spans="1:12" ht="15.75">
      <c r="B14" s="156" t="s">
        <v>52</v>
      </c>
      <c r="C14" s="157" t="s">
        <v>259</v>
      </c>
      <c r="D14" s="160">
        <v>19.100000000000001</v>
      </c>
      <c r="E14" s="160">
        <v>26.8</v>
      </c>
      <c r="F14" s="160">
        <v>12.1</v>
      </c>
      <c r="G14" s="160">
        <v>19.8</v>
      </c>
      <c r="H14" s="160">
        <v>27.7</v>
      </c>
      <c r="I14" s="160">
        <v>12.6</v>
      </c>
      <c r="J14" s="160">
        <v>15.2</v>
      </c>
      <c r="K14" s="160">
        <v>23.4</v>
      </c>
      <c r="L14" s="160">
        <v>8.4</v>
      </c>
    </row>
    <row r="15" spans="1:12">
      <c r="B15" s="11"/>
      <c r="C15" s="157" t="s">
        <v>260</v>
      </c>
      <c r="D15" s="160">
        <v>18.600000000000001</v>
      </c>
      <c r="E15" s="160">
        <v>25.5</v>
      </c>
      <c r="F15" s="160">
        <v>12.4</v>
      </c>
      <c r="G15" s="160">
        <v>19.2</v>
      </c>
      <c r="H15" s="160">
        <v>26.3</v>
      </c>
      <c r="I15" s="160">
        <v>12.8</v>
      </c>
      <c r="J15" s="160">
        <v>14.5</v>
      </c>
      <c r="K15" s="160">
        <v>20.100000000000001</v>
      </c>
      <c r="L15" s="160">
        <v>9.8000000000000007</v>
      </c>
    </row>
    <row r="16" spans="1:12">
      <c r="B16" s="11"/>
      <c r="C16" s="157" t="s">
        <v>167</v>
      </c>
      <c r="D16" s="160">
        <v>17.899999999999999</v>
      </c>
      <c r="E16" s="160">
        <v>25.5</v>
      </c>
      <c r="F16" s="160">
        <v>11.1</v>
      </c>
      <c r="G16" s="160">
        <v>18.3</v>
      </c>
      <c r="H16" s="160">
        <v>25.8</v>
      </c>
      <c r="I16" s="160">
        <v>11.5</v>
      </c>
      <c r="J16" s="160">
        <v>14.5</v>
      </c>
      <c r="K16" s="160">
        <v>22.2</v>
      </c>
      <c r="L16" s="160">
        <v>8</v>
      </c>
    </row>
    <row r="17" spans="2:12">
      <c r="B17" s="11"/>
      <c r="C17" s="157" t="s">
        <v>168</v>
      </c>
      <c r="D17" s="160">
        <v>15.9</v>
      </c>
      <c r="E17" s="160">
        <v>22.1</v>
      </c>
      <c r="F17" s="160">
        <v>10.5</v>
      </c>
      <c r="G17" s="160">
        <v>16</v>
      </c>
      <c r="H17" s="160">
        <v>21.8</v>
      </c>
      <c r="I17" s="160">
        <v>10.9</v>
      </c>
      <c r="J17" s="160">
        <v>14.9</v>
      </c>
      <c r="K17" s="160">
        <v>22.8</v>
      </c>
      <c r="L17" s="160">
        <v>8</v>
      </c>
    </row>
    <row r="18" spans="2:12">
      <c r="B18" s="11"/>
      <c r="C18" s="157" t="s">
        <v>169</v>
      </c>
      <c r="D18" s="160">
        <v>15</v>
      </c>
      <c r="E18" s="160">
        <v>21.2</v>
      </c>
      <c r="F18" s="160">
        <v>9.6</v>
      </c>
      <c r="G18" s="160">
        <v>14.8</v>
      </c>
      <c r="H18" s="160">
        <v>20.6</v>
      </c>
      <c r="I18" s="160">
        <v>9.6999999999999993</v>
      </c>
      <c r="J18" s="160">
        <v>15.8</v>
      </c>
      <c r="K18" s="160">
        <v>25.3</v>
      </c>
      <c r="L18" s="160">
        <v>8.5</v>
      </c>
    </row>
    <row r="19" spans="2:12">
      <c r="B19" s="11"/>
      <c r="C19" s="157" t="s">
        <v>170</v>
      </c>
      <c r="D19" s="160">
        <v>15.1</v>
      </c>
      <c r="E19" s="160">
        <v>20.8</v>
      </c>
      <c r="F19" s="160">
        <v>10</v>
      </c>
      <c r="G19" s="160">
        <v>15</v>
      </c>
      <c r="H19" s="160">
        <v>20.3</v>
      </c>
      <c r="I19" s="160">
        <v>10.199999999999999</v>
      </c>
      <c r="J19" s="160">
        <v>15.8</v>
      </c>
      <c r="K19" s="160">
        <v>24.8</v>
      </c>
      <c r="L19" s="160">
        <v>8.6999999999999993</v>
      </c>
    </row>
    <row r="20" spans="2:12">
      <c r="B20" s="11"/>
      <c r="C20" s="157">
        <v>1994</v>
      </c>
      <c r="D20" s="160">
        <v>15.1</v>
      </c>
      <c r="E20" s="160">
        <v>20.7</v>
      </c>
      <c r="F20" s="160">
        <v>10.1</v>
      </c>
      <c r="G20" s="160">
        <v>15.2</v>
      </c>
      <c r="H20" s="160">
        <v>20.7</v>
      </c>
      <c r="I20" s="160">
        <v>10.199999999999999</v>
      </c>
      <c r="J20" s="160">
        <v>12.8</v>
      </c>
      <c r="K20" s="160">
        <v>19.899999999999999</v>
      </c>
      <c r="L20" s="160">
        <v>7.2</v>
      </c>
    </row>
    <row r="21" spans="2:12" s="14" customFormat="1">
      <c r="B21" s="11"/>
      <c r="C21" s="157">
        <v>1995</v>
      </c>
      <c r="D21" s="160">
        <v>16.600000000000001</v>
      </c>
      <c r="E21" s="160">
        <v>22.3</v>
      </c>
      <c r="F21" s="160">
        <v>11.6</v>
      </c>
      <c r="G21" s="160">
        <v>16.399999999999999</v>
      </c>
      <c r="H21" s="160">
        <v>21.7</v>
      </c>
      <c r="I21" s="160">
        <v>11.7</v>
      </c>
      <c r="J21" s="160">
        <v>17.600000000000001</v>
      </c>
      <c r="K21" s="160">
        <v>27</v>
      </c>
      <c r="L21" s="160">
        <v>10.199999999999999</v>
      </c>
    </row>
    <row r="22" spans="2:12">
      <c r="B22" s="11"/>
      <c r="C22" s="157">
        <v>1996</v>
      </c>
      <c r="D22" s="160">
        <v>16.2</v>
      </c>
      <c r="E22" s="160">
        <v>22</v>
      </c>
      <c r="F22" s="160">
        <v>11.1</v>
      </c>
      <c r="G22" s="160">
        <v>16.399999999999999</v>
      </c>
      <c r="H22" s="160">
        <v>21.6</v>
      </c>
      <c r="I22" s="160">
        <v>11.8</v>
      </c>
      <c r="J22" s="160">
        <v>14.7</v>
      </c>
      <c r="K22" s="160">
        <v>24.7</v>
      </c>
      <c r="L22" s="160">
        <v>6.6</v>
      </c>
    </row>
    <row r="23" spans="2:12">
      <c r="B23" s="11"/>
      <c r="C23" s="157">
        <v>1997</v>
      </c>
      <c r="D23" s="160">
        <v>15.4</v>
      </c>
      <c r="E23" s="160">
        <v>20.8</v>
      </c>
      <c r="F23" s="160">
        <v>10.6</v>
      </c>
      <c r="G23" s="160">
        <v>15</v>
      </c>
      <c r="H23" s="160">
        <v>20.100000000000001</v>
      </c>
      <c r="I23" s="160">
        <v>10.199999999999999</v>
      </c>
      <c r="J23" s="160">
        <v>17.899999999999999</v>
      </c>
      <c r="K23" s="160">
        <v>25.1</v>
      </c>
      <c r="L23" s="160">
        <v>12.1</v>
      </c>
    </row>
    <row r="24" spans="2:12">
      <c r="B24" s="11"/>
      <c r="C24" s="157">
        <v>1998</v>
      </c>
      <c r="D24" s="160">
        <v>14.8</v>
      </c>
      <c r="E24" s="160">
        <v>20.7</v>
      </c>
      <c r="F24" s="160">
        <v>9.4</v>
      </c>
      <c r="G24" s="160">
        <v>14.5</v>
      </c>
      <c r="H24" s="160">
        <v>20</v>
      </c>
      <c r="I24" s="160">
        <v>9.4</v>
      </c>
      <c r="J24" s="160">
        <v>16.399999999999999</v>
      </c>
      <c r="K24" s="160">
        <v>25.7</v>
      </c>
      <c r="L24" s="160">
        <v>8.9</v>
      </c>
    </row>
    <row r="25" spans="2:12">
      <c r="B25" s="11"/>
      <c r="C25" s="157">
        <v>1999</v>
      </c>
      <c r="D25" s="160">
        <v>13.9</v>
      </c>
      <c r="E25" s="160">
        <v>19.100000000000001</v>
      </c>
      <c r="F25" s="160">
        <v>9.1999999999999993</v>
      </c>
      <c r="G25" s="160">
        <v>13.6</v>
      </c>
      <c r="H25" s="160">
        <v>18.7</v>
      </c>
      <c r="I25" s="160">
        <v>8.8000000000000007</v>
      </c>
      <c r="J25" s="160">
        <v>16.100000000000001</v>
      </c>
      <c r="K25" s="160">
        <v>23</v>
      </c>
      <c r="L25" s="160">
        <v>10.6</v>
      </c>
    </row>
    <row r="26" spans="2:12">
      <c r="B26" s="11"/>
      <c r="C26" s="157">
        <v>2000</v>
      </c>
      <c r="D26" s="160">
        <v>15.1</v>
      </c>
      <c r="E26" s="160">
        <v>20.7</v>
      </c>
      <c r="F26" s="160">
        <v>9.9</v>
      </c>
      <c r="G26" s="160">
        <v>15</v>
      </c>
      <c r="H26" s="160">
        <v>20.3</v>
      </c>
      <c r="I26" s="160">
        <v>10</v>
      </c>
      <c r="J26" s="160">
        <v>16.600000000000001</v>
      </c>
      <c r="K26" s="160">
        <v>25.9</v>
      </c>
      <c r="L26" s="160">
        <v>8.8000000000000007</v>
      </c>
    </row>
    <row r="27" spans="2:12">
      <c r="B27" s="11"/>
      <c r="C27" s="8">
        <v>2001</v>
      </c>
      <c r="D27" s="160">
        <v>13.6</v>
      </c>
      <c r="E27" s="160">
        <v>19</v>
      </c>
      <c r="F27" s="160">
        <v>8.6</v>
      </c>
      <c r="G27" s="160">
        <v>13.6</v>
      </c>
      <c r="H27" s="160">
        <v>19.100000000000001</v>
      </c>
      <c r="I27" s="160">
        <v>8.5</v>
      </c>
      <c r="J27" s="160">
        <v>14.1</v>
      </c>
      <c r="K27" s="160">
        <v>20.2</v>
      </c>
      <c r="L27" s="160">
        <v>8.6999999999999993</v>
      </c>
    </row>
    <row r="28" spans="2:12">
      <c r="B28" s="11"/>
      <c r="C28" s="157">
        <v>2002</v>
      </c>
      <c r="D28" s="160">
        <v>13.2</v>
      </c>
      <c r="E28" s="159">
        <v>19</v>
      </c>
      <c r="F28" s="159">
        <v>7.9</v>
      </c>
      <c r="G28" s="159">
        <v>13.3</v>
      </c>
      <c r="H28" s="159">
        <v>18.899999999999999</v>
      </c>
      <c r="I28" s="159">
        <v>8</v>
      </c>
      <c r="J28" s="159">
        <v>13.6</v>
      </c>
      <c r="K28" s="159">
        <v>21.9</v>
      </c>
      <c r="L28" s="159">
        <v>6.8</v>
      </c>
    </row>
    <row r="29" spans="2:12">
      <c r="B29" s="11"/>
      <c r="C29" s="157">
        <v>2003</v>
      </c>
      <c r="D29" s="160">
        <v>13.6</v>
      </c>
      <c r="E29" s="159">
        <v>18.8</v>
      </c>
      <c r="F29" s="159">
        <v>8.8000000000000007</v>
      </c>
      <c r="G29" s="159">
        <v>13.4</v>
      </c>
      <c r="H29" s="159">
        <v>18.7</v>
      </c>
      <c r="I29" s="159">
        <v>8.6</v>
      </c>
      <c r="J29" s="159">
        <v>15.2</v>
      </c>
      <c r="K29" s="159">
        <v>21.1</v>
      </c>
      <c r="L29" s="159">
        <v>9.9</v>
      </c>
    </row>
    <row r="30" spans="2:12">
      <c r="B30" s="11"/>
      <c r="C30" s="157">
        <v>2004</v>
      </c>
      <c r="D30" s="160">
        <v>12.8</v>
      </c>
      <c r="E30" s="159">
        <v>17.8</v>
      </c>
      <c r="F30" s="159">
        <v>8.1999999999999993</v>
      </c>
      <c r="G30" s="159">
        <v>12.6</v>
      </c>
      <c r="H30" s="159">
        <v>17.100000000000001</v>
      </c>
      <c r="I30" s="159">
        <v>8.1999999999999993</v>
      </c>
      <c r="J30" s="159">
        <v>12.9</v>
      </c>
      <c r="K30" s="159">
        <v>20.3</v>
      </c>
      <c r="L30" s="159">
        <v>6.7</v>
      </c>
    </row>
    <row r="31" spans="2:12">
      <c r="B31" s="11"/>
      <c r="C31" s="157">
        <v>2005</v>
      </c>
      <c r="D31" s="160">
        <v>12.1</v>
      </c>
      <c r="E31" s="159">
        <v>17.600000000000001</v>
      </c>
      <c r="F31" s="159">
        <v>7</v>
      </c>
      <c r="G31" s="159">
        <v>12</v>
      </c>
      <c r="H31" s="159">
        <v>17.2</v>
      </c>
      <c r="I31" s="159">
        <v>7.2</v>
      </c>
      <c r="J31" s="159">
        <v>11.6</v>
      </c>
      <c r="K31" s="159">
        <v>17.899999999999999</v>
      </c>
      <c r="L31" s="159">
        <v>5.8</v>
      </c>
    </row>
    <row r="32" spans="2:12">
      <c r="B32" s="11"/>
      <c r="C32" s="157">
        <v>2006</v>
      </c>
      <c r="D32" s="160">
        <v>11.4</v>
      </c>
      <c r="E32" s="159">
        <v>16.600000000000001</v>
      </c>
      <c r="F32" s="159">
        <v>6.5</v>
      </c>
      <c r="G32" s="159">
        <v>11.5</v>
      </c>
      <c r="H32" s="159">
        <v>16.399999999999999</v>
      </c>
      <c r="I32" s="159">
        <v>6.7</v>
      </c>
      <c r="J32" s="159">
        <v>10.7</v>
      </c>
      <c r="K32" s="159">
        <v>18.2</v>
      </c>
      <c r="L32" s="159">
        <v>4.4000000000000004</v>
      </c>
    </row>
    <row r="33" spans="2:12">
      <c r="B33" s="11"/>
      <c r="C33" s="157">
        <v>2007</v>
      </c>
      <c r="D33" s="160">
        <v>11.7</v>
      </c>
      <c r="E33" s="159">
        <v>17.5</v>
      </c>
      <c r="F33" s="159">
        <v>6.4</v>
      </c>
      <c r="G33" s="159">
        <v>11.3</v>
      </c>
      <c r="H33" s="159">
        <v>16.5</v>
      </c>
      <c r="I33" s="159">
        <v>6.4</v>
      </c>
      <c r="J33" s="159">
        <v>12.2</v>
      </c>
      <c r="K33" s="159">
        <v>20.399999999999999</v>
      </c>
      <c r="L33" s="159">
        <v>5.5</v>
      </c>
    </row>
    <row r="34" spans="2:12">
      <c r="B34" s="11"/>
      <c r="C34" s="157">
        <v>2008</v>
      </c>
      <c r="D34" s="160">
        <v>10.8</v>
      </c>
      <c r="E34" s="159">
        <v>15.5</v>
      </c>
      <c r="F34" s="159">
        <v>6.4</v>
      </c>
      <c r="G34" s="159">
        <v>10.7</v>
      </c>
      <c r="H34" s="159">
        <v>15.4</v>
      </c>
      <c r="I34" s="159">
        <v>6.2</v>
      </c>
      <c r="J34" s="159">
        <v>9.6</v>
      </c>
      <c r="K34" s="159">
        <v>13.6</v>
      </c>
      <c r="L34" s="159">
        <v>6.1</v>
      </c>
    </row>
    <row r="35" spans="2:12">
      <c r="B35" s="11"/>
      <c r="C35" s="157">
        <v>2009</v>
      </c>
      <c r="D35" s="160">
        <v>9.5</v>
      </c>
      <c r="E35" s="159">
        <v>13.5</v>
      </c>
      <c r="F35" s="159">
        <v>5.7</v>
      </c>
      <c r="G35" s="159">
        <v>9.1</v>
      </c>
      <c r="H35" s="159">
        <v>12.8</v>
      </c>
      <c r="I35" s="159">
        <v>5.5</v>
      </c>
      <c r="J35" s="159">
        <v>11.6</v>
      </c>
      <c r="K35" s="159">
        <v>17.7</v>
      </c>
      <c r="L35" s="159">
        <v>6.6</v>
      </c>
    </row>
    <row r="36" spans="2:12">
      <c r="B36" s="11"/>
      <c r="C36" s="157">
        <v>2010</v>
      </c>
      <c r="D36" s="160">
        <v>10.199999999999999</v>
      </c>
      <c r="E36" s="159">
        <v>14.5</v>
      </c>
      <c r="F36" s="159">
        <v>6.3</v>
      </c>
      <c r="G36" s="159">
        <v>10.199999999999999</v>
      </c>
      <c r="H36" s="159">
        <v>14.4</v>
      </c>
      <c r="I36" s="159">
        <v>6.2</v>
      </c>
      <c r="J36" s="159">
        <v>10</v>
      </c>
      <c r="K36" s="159">
        <v>14.8</v>
      </c>
      <c r="L36" s="159">
        <v>5.9</v>
      </c>
    </row>
    <row r="37" spans="2:12">
      <c r="B37" s="11"/>
      <c r="C37" s="157">
        <v>2011</v>
      </c>
      <c r="D37" s="160">
        <v>9.6999999999999993</v>
      </c>
      <c r="E37" s="159">
        <v>14.1</v>
      </c>
      <c r="F37" s="159">
        <v>5.5</v>
      </c>
      <c r="G37" s="159">
        <v>9.6</v>
      </c>
      <c r="H37" s="159">
        <v>13.9</v>
      </c>
      <c r="I37" s="159">
        <v>5.5</v>
      </c>
      <c r="J37" s="159">
        <v>9.6999999999999993</v>
      </c>
      <c r="K37" s="159">
        <v>15.1</v>
      </c>
      <c r="L37" s="159">
        <v>5.2</v>
      </c>
    </row>
    <row r="38" spans="2:12">
      <c r="B38" s="11"/>
      <c r="C38" s="157">
        <v>2012</v>
      </c>
      <c r="D38" s="160">
        <v>10.3</v>
      </c>
      <c r="E38" s="159">
        <v>14.7</v>
      </c>
      <c r="F38" s="159">
        <v>6.2</v>
      </c>
      <c r="G38" s="159">
        <v>10.4</v>
      </c>
      <c r="H38" s="159">
        <v>14.7</v>
      </c>
      <c r="I38" s="159">
        <v>6.3</v>
      </c>
      <c r="J38" s="159">
        <v>10.5</v>
      </c>
      <c r="K38" s="159">
        <v>15</v>
      </c>
      <c r="L38" s="159">
        <v>6.6</v>
      </c>
    </row>
    <row r="39" spans="2:12">
      <c r="B39" s="11"/>
      <c r="C39" s="157">
        <v>2013</v>
      </c>
      <c r="D39" s="160">
        <v>10.3</v>
      </c>
      <c r="E39" s="159">
        <v>14.6</v>
      </c>
      <c r="F39" s="159">
        <v>6.2</v>
      </c>
      <c r="G39" s="159">
        <v>10</v>
      </c>
      <c r="H39" s="159">
        <v>14.2</v>
      </c>
      <c r="I39" s="159">
        <v>5.9</v>
      </c>
      <c r="J39" s="159">
        <v>12.9</v>
      </c>
      <c r="K39" s="159">
        <v>19.2</v>
      </c>
      <c r="L39" s="159">
        <v>7.8</v>
      </c>
    </row>
    <row r="40" spans="2:12">
      <c r="B40" s="11"/>
      <c r="C40" s="157"/>
      <c r="D40" s="160"/>
      <c r="E40" s="159"/>
      <c r="F40" s="159"/>
      <c r="G40" s="159"/>
      <c r="H40" s="159"/>
      <c r="I40" s="159"/>
      <c r="J40" s="159"/>
      <c r="K40" s="159"/>
      <c r="L40" s="159"/>
    </row>
    <row r="41" spans="2:12">
      <c r="B41" s="64"/>
      <c r="C41" s="163" t="s">
        <v>166</v>
      </c>
      <c r="D41" s="193">
        <v>22.3</v>
      </c>
      <c r="E41" s="164">
        <v>33.6</v>
      </c>
      <c r="F41" s="164">
        <v>11.8</v>
      </c>
      <c r="G41" s="164">
        <v>22.6</v>
      </c>
      <c r="H41" s="164">
        <v>33.799999999999997</v>
      </c>
      <c r="I41" s="164">
        <v>12.2</v>
      </c>
      <c r="J41" s="164">
        <v>20.2</v>
      </c>
      <c r="K41" s="164">
        <v>34.200000000000003</v>
      </c>
      <c r="L41" s="164">
        <v>8.5</v>
      </c>
    </row>
    <row r="42" spans="2:12">
      <c r="B42" s="11"/>
      <c r="C42" s="157" t="s">
        <v>252</v>
      </c>
      <c r="D42" s="161">
        <v>21.3</v>
      </c>
      <c r="E42" s="48">
        <v>32.200000000000003</v>
      </c>
      <c r="F42" s="48">
        <v>11.2</v>
      </c>
      <c r="G42" s="48">
        <v>21.8</v>
      </c>
      <c r="H42" s="48">
        <v>32.6</v>
      </c>
      <c r="I42" s="48">
        <v>11.7</v>
      </c>
      <c r="J42" s="48">
        <v>18.8</v>
      </c>
      <c r="K42" s="48">
        <v>32.1</v>
      </c>
      <c r="L42" s="48">
        <v>7.9</v>
      </c>
    </row>
    <row r="43" spans="2:12">
      <c r="B43" s="11"/>
      <c r="C43" s="157" t="s">
        <v>253</v>
      </c>
      <c r="D43" s="161">
        <v>18.899999999999999</v>
      </c>
      <c r="E43" s="48">
        <v>28.3</v>
      </c>
      <c r="F43" s="48">
        <v>10.199999999999999</v>
      </c>
      <c r="G43" s="48">
        <v>19.2</v>
      </c>
      <c r="H43" s="48">
        <v>28.6</v>
      </c>
      <c r="I43" s="48">
        <v>10.5</v>
      </c>
      <c r="J43" s="48">
        <v>17.100000000000001</v>
      </c>
      <c r="K43" s="48">
        <v>28.5</v>
      </c>
      <c r="L43" s="48">
        <v>7.7</v>
      </c>
    </row>
    <row r="44" spans="2:12">
      <c r="B44" s="11"/>
      <c r="C44" s="157" t="s">
        <v>254</v>
      </c>
      <c r="D44" s="161">
        <v>18.2</v>
      </c>
      <c r="E44" s="48">
        <v>27.1</v>
      </c>
      <c r="F44" s="48">
        <v>10.1</v>
      </c>
      <c r="G44" s="48">
        <v>18.5</v>
      </c>
      <c r="H44" s="48">
        <v>27.3</v>
      </c>
      <c r="I44" s="48">
        <v>10.4</v>
      </c>
      <c r="J44" s="48">
        <v>16.899999999999999</v>
      </c>
      <c r="K44" s="48">
        <v>27.7</v>
      </c>
      <c r="L44" s="48">
        <v>7.9</v>
      </c>
    </row>
    <row r="45" spans="2:12">
      <c r="B45" s="11"/>
      <c r="C45" s="157" t="s">
        <v>255</v>
      </c>
      <c r="D45" s="161">
        <v>18.8</v>
      </c>
      <c r="E45" s="48">
        <v>27.8</v>
      </c>
      <c r="F45" s="48">
        <v>10.6</v>
      </c>
      <c r="G45" s="48">
        <v>19.2</v>
      </c>
      <c r="H45" s="48">
        <v>28</v>
      </c>
      <c r="I45" s="48">
        <v>11</v>
      </c>
      <c r="J45" s="48">
        <v>17.399999999999999</v>
      </c>
      <c r="K45" s="48">
        <v>28.9</v>
      </c>
      <c r="L45" s="48">
        <v>8</v>
      </c>
    </row>
    <row r="46" spans="2:12" ht="15.75">
      <c r="B46" s="156"/>
      <c r="C46" s="157" t="s">
        <v>256</v>
      </c>
      <c r="D46" s="161">
        <v>18.600000000000001</v>
      </c>
      <c r="E46" s="48">
        <v>27.2</v>
      </c>
      <c r="F46" s="48">
        <v>10.7</v>
      </c>
      <c r="G46" s="48">
        <v>18.8</v>
      </c>
      <c r="H46" s="48">
        <v>27.2</v>
      </c>
      <c r="I46" s="48">
        <v>10.9</v>
      </c>
      <c r="J46" s="48">
        <v>17.8</v>
      </c>
      <c r="K46" s="48">
        <v>29</v>
      </c>
      <c r="L46" s="48">
        <v>8.5</v>
      </c>
    </row>
    <row r="47" spans="2:12" ht="15.75">
      <c r="B47" s="165"/>
      <c r="C47" s="157" t="s">
        <v>257</v>
      </c>
      <c r="D47" s="161">
        <v>19.100000000000001</v>
      </c>
      <c r="E47" s="48">
        <v>28.1</v>
      </c>
      <c r="F47" s="48">
        <v>10.7</v>
      </c>
      <c r="G47" s="48">
        <v>19.3</v>
      </c>
      <c r="H47" s="48">
        <v>28.1</v>
      </c>
      <c r="I47" s="48">
        <v>11</v>
      </c>
      <c r="J47" s="48">
        <v>18.7</v>
      </c>
      <c r="K47" s="48">
        <v>30.9</v>
      </c>
      <c r="L47" s="48">
        <v>8.6999999999999993</v>
      </c>
    </row>
    <row r="48" spans="2:12" ht="15.75">
      <c r="B48" s="156" t="s">
        <v>54</v>
      </c>
      <c r="C48" s="157" t="s">
        <v>258</v>
      </c>
      <c r="D48" s="161">
        <v>19.2</v>
      </c>
      <c r="E48" s="48">
        <v>27.9</v>
      </c>
      <c r="F48" s="48">
        <v>11.2</v>
      </c>
      <c r="G48" s="48">
        <v>19.5</v>
      </c>
      <c r="H48" s="48">
        <v>28</v>
      </c>
      <c r="I48" s="48">
        <v>11.5</v>
      </c>
      <c r="J48" s="48">
        <v>18.399999999999999</v>
      </c>
      <c r="K48" s="48">
        <v>29.7</v>
      </c>
      <c r="L48" s="48">
        <v>9</v>
      </c>
    </row>
    <row r="49" spans="2:12" ht="15.75">
      <c r="B49" s="165" t="s">
        <v>55</v>
      </c>
      <c r="C49" s="157" t="s">
        <v>259</v>
      </c>
      <c r="D49" s="161">
        <v>19.5</v>
      </c>
      <c r="E49" s="48">
        <v>28.2</v>
      </c>
      <c r="F49" s="48">
        <v>11.5</v>
      </c>
      <c r="G49" s="48">
        <v>19.7</v>
      </c>
      <c r="H49" s="48">
        <v>28.1</v>
      </c>
      <c r="I49" s="48">
        <v>11.7</v>
      </c>
      <c r="J49" s="48">
        <v>19.399999999999999</v>
      </c>
      <c r="K49" s="48">
        <v>31.6</v>
      </c>
      <c r="L49" s="48">
        <v>9.5</v>
      </c>
    </row>
    <row r="50" spans="2:12">
      <c r="B50" s="11"/>
      <c r="C50" s="157" t="s">
        <v>260</v>
      </c>
      <c r="D50" s="161">
        <v>18.8</v>
      </c>
      <c r="E50" s="48">
        <v>26.9</v>
      </c>
      <c r="F50" s="48">
        <v>11.4</v>
      </c>
      <c r="G50" s="48">
        <v>19</v>
      </c>
      <c r="H50" s="48">
        <v>26.7</v>
      </c>
      <c r="I50" s="48">
        <v>11.7</v>
      </c>
      <c r="J50" s="48">
        <v>19.2</v>
      </c>
      <c r="K50" s="48">
        <v>31.1</v>
      </c>
      <c r="L50" s="48">
        <v>9.5</v>
      </c>
    </row>
    <row r="51" spans="2:12">
      <c r="B51" s="11"/>
      <c r="C51" s="157" t="s">
        <v>167</v>
      </c>
      <c r="D51" s="161">
        <v>18.5</v>
      </c>
      <c r="E51" s="48">
        <v>26.5</v>
      </c>
      <c r="F51" s="48">
        <v>11</v>
      </c>
      <c r="G51" s="48">
        <v>18.5</v>
      </c>
      <c r="H51" s="48">
        <v>26.3</v>
      </c>
      <c r="I51" s="48">
        <v>11.2</v>
      </c>
      <c r="J51" s="48">
        <v>18.8</v>
      </c>
      <c r="K51" s="48">
        <v>29.9</v>
      </c>
      <c r="L51" s="48">
        <v>9.6</v>
      </c>
    </row>
    <row r="52" spans="2:12">
      <c r="B52" s="11"/>
      <c r="C52" s="157" t="s">
        <v>168</v>
      </c>
      <c r="D52" s="161">
        <v>17</v>
      </c>
      <c r="E52" s="48">
        <v>24.4</v>
      </c>
      <c r="F52" s="48">
        <v>10.3</v>
      </c>
      <c r="G52" s="48">
        <v>17.2</v>
      </c>
      <c r="H52" s="48">
        <v>24.3</v>
      </c>
      <c r="I52" s="48">
        <v>10.5</v>
      </c>
      <c r="J52" s="48">
        <v>17.2</v>
      </c>
      <c r="K52" s="48">
        <v>27.2</v>
      </c>
      <c r="L52" s="48">
        <v>8.9</v>
      </c>
    </row>
    <row r="53" spans="2:12">
      <c r="B53" s="11"/>
      <c r="C53" s="157">
        <v>1992</v>
      </c>
      <c r="D53" s="161">
        <v>15.9</v>
      </c>
      <c r="E53" s="48">
        <v>22.7</v>
      </c>
      <c r="F53" s="48">
        <v>9.8000000000000007</v>
      </c>
      <c r="G53" s="48">
        <v>16</v>
      </c>
      <c r="H53" s="48">
        <v>22.5</v>
      </c>
      <c r="I53" s="48">
        <v>9.9</v>
      </c>
      <c r="J53" s="48">
        <v>16.600000000000001</v>
      </c>
      <c r="K53" s="48">
        <v>26.1</v>
      </c>
      <c r="L53" s="48">
        <v>8.9</v>
      </c>
    </row>
    <row r="54" spans="2:12">
      <c r="B54" s="11"/>
      <c r="C54" s="158" t="s">
        <v>170</v>
      </c>
      <c r="D54" s="160">
        <v>16.2</v>
      </c>
      <c r="E54" s="159">
        <v>23</v>
      </c>
      <c r="F54" s="159">
        <v>9.9</v>
      </c>
      <c r="G54" s="159">
        <v>16.2</v>
      </c>
      <c r="H54" s="159">
        <v>22.9</v>
      </c>
      <c r="I54" s="159">
        <v>10</v>
      </c>
      <c r="J54" s="159">
        <v>16.8</v>
      </c>
      <c r="K54" s="159">
        <v>26.7</v>
      </c>
      <c r="L54" s="159">
        <v>8.6999999999999993</v>
      </c>
    </row>
    <row r="55" spans="2:12">
      <c r="B55" s="166"/>
      <c r="C55" s="157">
        <v>1994</v>
      </c>
      <c r="D55" s="160">
        <v>16.3</v>
      </c>
      <c r="E55" s="167">
        <v>22.9</v>
      </c>
      <c r="F55" s="167">
        <v>10.3</v>
      </c>
      <c r="G55" s="167">
        <v>16.3</v>
      </c>
      <c r="H55" s="167">
        <v>22.8</v>
      </c>
      <c r="I55" s="167">
        <v>10.3</v>
      </c>
      <c r="J55" s="167">
        <v>17</v>
      </c>
      <c r="K55" s="167">
        <v>25.8</v>
      </c>
      <c r="L55" s="167">
        <v>9.8000000000000007</v>
      </c>
    </row>
    <row r="56" spans="2:12" s="14" customFormat="1">
      <c r="B56" s="166"/>
      <c r="C56" s="158" t="s">
        <v>56</v>
      </c>
      <c r="D56" s="160">
        <v>16.5</v>
      </c>
      <c r="E56" s="168">
        <v>23.1</v>
      </c>
      <c r="F56" s="168">
        <v>10.4</v>
      </c>
      <c r="G56" s="168">
        <v>16.5</v>
      </c>
      <c r="H56" s="168">
        <v>22.9</v>
      </c>
      <c r="I56" s="168">
        <v>10.6</v>
      </c>
      <c r="J56" s="168">
        <v>16.899999999999999</v>
      </c>
      <c r="K56" s="168">
        <v>26.4</v>
      </c>
      <c r="L56" s="168">
        <v>9.1</v>
      </c>
    </row>
    <row r="57" spans="2:12">
      <c r="B57" s="166"/>
      <c r="C57" s="158" t="s">
        <v>57</v>
      </c>
      <c r="D57" s="160">
        <v>16.5</v>
      </c>
      <c r="E57" s="168">
        <v>22.8</v>
      </c>
      <c r="F57" s="168">
        <v>10.6</v>
      </c>
      <c r="G57" s="168">
        <v>16.5</v>
      </c>
      <c r="H57" s="168">
        <v>22.7</v>
      </c>
      <c r="I57" s="168">
        <v>10.7</v>
      </c>
      <c r="J57" s="168">
        <v>17</v>
      </c>
      <c r="K57" s="168">
        <v>25.9</v>
      </c>
      <c r="L57" s="168">
        <v>9.6</v>
      </c>
    </row>
    <row r="58" spans="2:12">
      <c r="B58" s="166"/>
      <c r="C58" s="158" t="s">
        <v>58</v>
      </c>
      <c r="D58" s="160">
        <v>16.3</v>
      </c>
      <c r="E58" s="168">
        <v>22.4</v>
      </c>
      <c r="F58" s="168">
        <v>10.6</v>
      </c>
      <c r="G58" s="168">
        <v>16.2</v>
      </c>
      <c r="H58" s="168">
        <v>22.2</v>
      </c>
      <c r="I58" s="168">
        <v>10.6</v>
      </c>
      <c r="J58" s="168">
        <v>17.3</v>
      </c>
      <c r="K58" s="168">
        <v>25.6</v>
      </c>
      <c r="L58" s="168">
        <v>10.199999999999999</v>
      </c>
    </row>
    <row r="59" spans="2:12">
      <c r="B59" s="166"/>
      <c r="C59" s="158" t="s">
        <v>59</v>
      </c>
      <c r="D59" s="168">
        <v>16.100000000000001</v>
      </c>
      <c r="E59" s="168">
        <v>22.4</v>
      </c>
      <c r="F59" s="168">
        <v>10.3</v>
      </c>
      <c r="G59" s="168">
        <v>16.100000000000001</v>
      </c>
      <c r="H59" s="168">
        <v>22.2</v>
      </c>
      <c r="I59" s="168">
        <v>10.4</v>
      </c>
      <c r="J59" s="168">
        <v>17.2</v>
      </c>
      <c r="K59" s="168">
        <v>26.2</v>
      </c>
      <c r="L59" s="168">
        <v>9.6999999999999993</v>
      </c>
    </row>
    <row r="60" spans="2:12">
      <c r="B60" s="166"/>
      <c r="C60" s="157">
        <v>1999</v>
      </c>
      <c r="D60" s="127">
        <v>15.5</v>
      </c>
      <c r="E60" s="168">
        <v>21.8</v>
      </c>
      <c r="F60" s="168">
        <v>9.8000000000000007</v>
      </c>
      <c r="G60" s="168">
        <v>15.6</v>
      </c>
      <c r="H60" s="168">
        <v>21.8</v>
      </c>
      <c r="I60" s="168">
        <v>9.9</v>
      </c>
      <c r="J60" s="168">
        <v>16.2</v>
      </c>
      <c r="K60" s="168">
        <v>24.7</v>
      </c>
      <c r="L60" s="168">
        <v>9.1999999999999993</v>
      </c>
    </row>
    <row r="61" spans="2:12">
      <c r="B61" s="166"/>
      <c r="C61" s="8">
        <v>2000</v>
      </c>
      <c r="D61" s="127">
        <v>15.7</v>
      </c>
      <c r="E61" s="127">
        <v>22.2</v>
      </c>
      <c r="F61" s="127">
        <v>9.6999999999999993</v>
      </c>
      <c r="G61" s="127">
        <v>15.9</v>
      </c>
      <c r="H61" s="127">
        <v>22.2</v>
      </c>
      <c r="I61" s="127">
        <v>9.9</v>
      </c>
      <c r="J61" s="127">
        <v>16</v>
      </c>
      <c r="K61" s="127">
        <v>24.8</v>
      </c>
      <c r="L61" s="127">
        <v>8.6</v>
      </c>
    </row>
    <row r="62" spans="2:12">
      <c r="B62" s="166"/>
      <c r="C62" s="8">
        <v>2001</v>
      </c>
      <c r="D62" s="127">
        <v>15.3</v>
      </c>
      <c r="E62" s="127">
        <v>21.8</v>
      </c>
      <c r="F62" s="127">
        <v>9.3000000000000007</v>
      </c>
      <c r="G62" s="127">
        <v>15.6</v>
      </c>
      <c r="H62" s="127">
        <v>22</v>
      </c>
      <c r="I62" s="127">
        <v>9.5</v>
      </c>
      <c r="J62" s="127">
        <v>15.4</v>
      </c>
      <c r="K62" s="127">
        <v>23.5</v>
      </c>
      <c r="L62" s="127">
        <v>8.5</v>
      </c>
    </row>
    <row r="63" spans="2:12">
      <c r="B63" s="166"/>
      <c r="C63" s="8">
        <v>2002</v>
      </c>
      <c r="D63" s="127">
        <v>15.7</v>
      </c>
      <c r="E63" s="127">
        <v>22.1</v>
      </c>
      <c r="F63" s="127">
        <v>9.6</v>
      </c>
      <c r="G63" s="127">
        <v>16</v>
      </c>
      <c r="H63" s="127">
        <v>22.4</v>
      </c>
      <c r="I63" s="127">
        <v>9.8000000000000007</v>
      </c>
      <c r="J63" s="127">
        <v>15</v>
      </c>
      <c r="K63" s="127">
        <v>23.2</v>
      </c>
      <c r="L63" s="127">
        <v>8.1999999999999993</v>
      </c>
    </row>
    <row r="64" spans="2:12">
      <c r="B64" s="166"/>
      <c r="C64" s="8">
        <v>2003</v>
      </c>
      <c r="D64" s="127">
        <v>15.3</v>
      </c>
      <c r="E64" s="127">
        <v>21.6</v>
      </c>
      <c r="F64" s="127">
        <v>9.3000000000000007</v>
      </c>
      <c r="G64" s="127">
        <v>15.7</v>
      </c>
      <c r="H64" s="127">
        <v>21.9</v>
      </c>
      <c r="I64" s="127">
        <v>9.5</v>
      </c>
      <c r="J64" s="127">
        <v>14.9</v>
      </c>
      <c r="K64" s="127">
        <v>22.7</v>
      </c>
      <c r="L64" s="127">
        <v>8.3000000000000007</v>
      </c>
    </row>
    <row r="65" spans="2:12">
      <c r="B65" s="166"/>
      <c r="C65" s="8">
        <v>2004</v>
      </c>
      <c r="D65" s="127">
        <v>15.2</v>
      </c>
      <c r="E65" s="127">
        <v>21.4</v>
      </c>
      <c r="F65" s="127">
        <v>9.3000000000000007</v>
      </c>
      <c r="G65" s="127">
        <v>15.6</v>
      </c>
      <c r="H65" s="127">
        <v>21.8</v>
      </c>
      <c r="I65" s="127">
        <v>9.5</v>
      </c>
      <c r="J65" s="127">
        <v>14.8</v>
      </c>
      <c r="K65" s="127">
        <v>22.7</v>
      </c>
      <c r="L65" s="127">
        <v>8.1</v>
      </c>
    </row>
    <row r="66" spans="2:12">
      <c r="B66" s="166"/>
      <c r="C66" s="8">
        <v>2005</v>
      </c>
      <c r="D66" s="127">
        <v>15.2</v>
      </c>
      <c r="E66" s="127">
        <v>21.7</v>
      </c>
      <c r="F66" s="127">
        <v>8.9</v>
      </c>
      <c r="G66" s="127">
        <v>15.6</v>
      </c>
      <c r="H66" s="127">
        <v>22.2</v>
      </c>
      <c r="I66" s="127">
        <v>9.1999999999999993</v>
      </c>
      <c r="J66" s="127">
        <v>14.5</v>
      </c>
      <c r="K66" s="127">
        <v>22.5</v>
      </c>
      <c r="L66" s="127">
        <v>7.6</v>
      </c>
    </row>
    <row r="67" spans="2:12">
      <c r="B67" s="166"/>
      <c r="C67" s="8">
        <v>2006</v>
      </c>
      <c r="D67" s="127">
        <v>15</v>
      </c>
      <c r="E67" s="127">
        <v>21.4</v>
      </c>
      <c r="F67" s="127">
        <v>8.8000000000000007</v>
      </c>
      <c r="G67" s="127">
        <v>15.4</v>
      </c>
      <c r="H67" s="127">
        <v>21.8</v>
      </c>
      <c r="I67" s="127">
        <v>9.1</v>
      </c>
      <c r="J67" s="127">
        <v>14.6</v>
      </c>
      <c r="K67" s="127">
        <v>22.6</v>
      </c>
      <c r="L67" s="127">
        <v>7.8</v>
      </c>
    </row>
    <row r="68" spans="2:12">
      <c r="B68" s="166"/>
      <c r="C68" s="8">
        <v>2007</v>
      </c>
      <c r="D68" s="127">
        <v>14.4</v>
      </c>
      <c r="E68" s="127">
        <v>20.9</v>
      </c>
      <c r="F68" s="127">
        <v>8.1999999999999993</v>
      </c>
      <c r="G68" s="127">
        <v>14.8</v>
      </c>
      <c r="H68" s="127">
        <v>21.3</v>
      </c>
      <c r="I68" s="127">
        <v>8.5</v>
      </c>
      <c r="J68" s="127">
        <v>14.1</v>
      </c>
      <c r="K68" s="127">
        <v>22.5</v>
      </c>
      <c r="L68" s="127">
        <v>7</v>
      </c>
    </row>
    <row r="69" spans="2:12">
      <c r="B69" s="166"/>
      <c r="C69" s="8">
        <v>2008</v>
      </c>
      <c r="D69" s="127">
        <v>12.9</v>
      </c>
      <c r="E69" s="127">
        <v>18.8</v>
      </c>
      <c r="F69" s="127">
        <v>7.3</v>
      </c>
      <c r="G69" s="127">
        <v>13.3</v>
      </c>
      <c r="H69" s="127">
        <v>19.3</v>
      </c>
      <c r="I69" s="127">
        <v>7.5</v>
      </c>
      <c r="J69" s="127">
        <v>12.3</v>
      </c>
      <c r="K69" s="127">
        <v>19.100000000000001</v>
      </c>
      <c r="L69" s="127">
        <v>6.5</v>
      </c>
    </row>
    <row r="70" spans="2:12">
      <c r="B70" s="166"/>
      <c r="C70" s="8">
        <v>2009</v>
      </c>
      <c r="D70" s="127">
        <v>11.7</v>
      </c>
      <c r="E70" s="127">
        <v>16.8</v>
      </c>
      <c r="F70" s="127">
        <v>6.8</v>
      </c>
      <c r="G70" s="127">
        <v>11.9</v>
      </c>
      <c r="H70" s="127">
        <v>17.100000000000001</v>
      </c>
      <c r="I70" s="127">
        <v>6.9</v>
      </c>
      <c r="J70" s="127">
        <v>11.7</v>
      </c>
      <c r="K70" s="127">
        <v>18</v>
      </c>
      <c r="L70" s="127">
        <v>6.3</v>
      </c>
    </row>
    <row r="71" spans="2:12">
      <c r="B71" s="166"/>
      <c r="C71" s="8">
        <v>2010</v>
      </c>
      <c r="D71" s="127">
        <v>11.3</v>
      </c>
      <c r="E71" s="127">
        <v>16.2</v>
      </c>
      <c r="F71" s="127">
        <v>6.5</v>
      </c>
      <c r="G71" s="127">
        <v>11.7</v>
      </c>
      <c r="H71" s="127">
        <v>16.7</v>
      </c>
      <c r="I71" s="127">
        <v>6.8</v>
      </c>
      <c r="J71" s="127">
        <v>10.9</v>
      </c>
      <c r="K71" s="127">
        <v>16.7</v>
      </c>
      <c r="L71" s="127">
        <v>5.9</v>
      </c>
    </row>
    <row r="72" spans="2:12">
      <c r="B72" s="166"/>
      <c r="C72" s="8">
        <v>2011</v>
      </c>
      <c r="D72" s="127">
        <v>11.3</v>
      </c>
      <c r="E72" s="127">
        <v>16.3</v>
      </c>
      <c r="F72" s="127">
        <v>6.5</v>
      </c>
      <c r="G72" s="127">
        <v>11.9</v>
      </c>
      <c r="H72" s="127">
        <v>16.899999999999999</v>
      </c>
      <c r="I72" s="127">
        <v>6.9</v>
      </c>
      <c r="J72" s="127">
        <v>10.5</v>
      </c>
      <c r="K72" s="127">
        <v>15.8</v>
      </c>
      <c r="L72" s="127">
        <v>5.7</v>
      </c>
    </row>
    <row r="73" spans="2:12">
      <c r="B73" s="166"/>
      <c r="C73" s="8">
        <v>2012</v>
      </c>
      <c r="D73" s="127">
        <v>11.4</v>
      </c>
      <c r="E73" s="127">
        <v>16.5</v>
      </c>
      <c r="F73" s="127">
        <v>6.5</v>
      </c>
      <c r="G73" s="127">
        <v>11.8</v>
      </c>
      <c r="H73" s="127">
        <v>17</v>
      </c>
      <c r="I73" s="127">
        <v>6.8</v>
      </c>
      <c r="J73" s="127">
        <v>11.3</v>
      </c>
      <c r="K73" s="127">
        <v>17.399999999999999</v>
      </c>
      <c r="L73" s="127">
        <v>5.9</v>
      </c>
    </row>
    <row r="74" spans="2:12">
      <c r="B74" s="171"/>
      <c r="C74" s="6"/>
      <c r="D74" s="175"/>
      <c r="E74" s="175"/>
      <c r="F74" s="175"/>
      <c r="G74" s="175"/>
      <c r="H74" s="175"/>
      <c r="I74" s="175"/>
      <c r="J74" s="175"/>
      <c r="K74" s="175"/>
      <c r="L74" s="175"/>
    </row>
    <row r="75" spans="2:12" ht="29.25" customHeight="1">
      <c r="B75" s="347" t="s">
        <v>613</v>
      </c>
      <c r="C75" s="348"/>
      <c r="D75" s="348"/>
      <c r="E75" s="348"/>
      <c r="F75" s="348"/>
      <c r="G75" s="348"/>
      <c r="H75" s="348"/>
      <c r="I75" s="348"/>
      <c r="J75" s="348"/>
      <c r="K75" s="348"/>
      <c r="L75" s="348"/>
    </row>
    <row r="76" spans="2:12" ht="58.5" customHeight="1">
      <c r="B76" s="347" t="s">
        <v>60</v>
      </c>
      <c r="C76" s="348"/>
      <c r="D76" s="348"/>
      <c r="E76" s="348"/>
      <c r="F76" s="348"/>
      <c r="G76" s="348"/>
      <c r="H76" s="348"/>
      <c r="I76" s="348"/>
      <c r="J76" s="348"/>
      <c r="K76" s="348"/>
      <c r="L76" s="348"/>
    </row>
    <row r="77" spans="2:12" ht="81" customHeight="1">
      <c r="B77" s="347" t="s">
        <v>121</v>
      </c>
      <c r="C77" s="348"/>
      <c r="D77" s="348"/>
      <c r="E77" s="348"/>
      <c r="F77" s="348"/>
      <c r="G77" s="348"/>
      <c r="H77" s="348"/>
      <c r="I77" s="348"/>
      <c r="J77" s="348"/>
      <c r="K77" s="348"/>
      <c r="L77" s="348"/>
    </row>
    <row r="78" spans="2:12" ht="30.75" customHeight="1">
      <c r="B78" s="347" t="s">
        <v>62</v>
      </c>
      <c r="C78" s="348"/>
      <c r="D78" s="348"/>
      <c r="E78" s="348"/>
      <c r="F78" s="348"/>
      <c r="G78" s="348"/>
      <c r="H78" s="348"/>
      <c r="I78" s="348"/>
      <c r="J78" s="348"/>
      <c r="K78" s="348"/>
      <c r="L78" s="348"/>
    </row>
  </sheetData>
  <mergeCells count="6">
    <mergeCell ref="B77:L77"/>
    <mergeCell ref="B78:L78"/>
    <mergeCell ref="B4:B5"/>
    <mergeCell ref="C4:C5"/>
    <mergeCell ref="B75:L75"/>
    <mergeCell ref="B76:L76"/>
  </mergeCells>
  <phoneticPr fontId="1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52"/>
    </row>
    <row r="2" spans="1:12" ht="15.75">
      <c r="B2" s="5" t="s">
        <v>119</v>
      </c>
      <c r="C2" s="4"/>
      <c r="D2" s="4"/>
      <c r="E2" s="4"/>
      <c r="F2" s="4"/>
      <c r="G2" s="4"/>
      <c r="H2" s="4"/>
      <c r="I2" s="4"/>
      <c r="J2" s="4"/>
      <c r="K2" s="4"/>
      <c r="L2" s="4"/>
    </row>
    <row r="3" spans="1:12">
      <c r="B3" s="3" t="s">
        <v>580</v>
      </c>
      <c r="C3" s="4"/>
      <c r="D3" s="4"/>
      <c r="E3" s="4"/>
      <c r="F3" s="4"/>
      <c r="G3" s="4"/>
      <c r="H3" s="4"/>
      <c r="I3" s="4"/>
      <c r="J3" s="4"/>
      <c r="K3" s="4"/>
      <c r="L3" s="4"/>
    </row>
    <row r="4" spans="1:12">
      <c r="B4" s="282" t="s">
        <v>51</v>
      </c>
      <c r="C4" s="282" t="s">
        <v>157</v>
      </c>
      <c r="D4" s="153" t="s">
        <v>544</v>
      </c>
      <c r="E4" s="58"/>
      <c r="F4" s="135"/>
      <c r="G4" s="154" t="s">
        <v>545</v>
      </c>
      <c r="H4" s="58"/>
      <c r="I4" s="135"/>
      <c r="J4" s="154" t="s">
        <v>546</v>
      </c>
      <c r="K4" s="58"/>
      <c r="L4" s="135"/>
    </row>
    <row r="5" spans="1:12">
      <c r="B5" s="283"/>
      <c r="C5" s="283"/>
      <c r="D5" s="155" t="s">
        <v>435</v>
      </c>
      <c r="E5" s="155" t="s">
        <v>550</v>
      </c>
      <c r="F5" s="155" t="s">
        <v>551</v>
      </c>
      <c r="G5" s="155" t="s">
        <v>435</v>
      </c>
      <c r="H5" s="155" t="s">
        <v>550</v>
      </c>
      <c r="I5" s="155" t="s">
        <v>551</v>
      </c>
      <c r="J5" s="155" t="s">
        <v>435</v>
      </c>
      <c r="K5" s="155" t="s">
        <v>550</v>
      </c>
      <c r="L5" s="155" t="s">
        <v>551</v>
      </c>
    </row>
    <row r="6" spans="1:12" ht="15.75">
      <c r="B6" s="156" t="s">
        <v>52</v>
      </c>
      <c r="C6" s="157" t="s">
        <v>167</v>
      </c>
      <c r="D6" s="160">
        <v>4.9000000000000004</v>
      </c>
      <c r="E6" s="160">
        <v>5.8</v>
      </c>
      <c r="F6" s="160">
        <v>4.4000000000000004</v>
      </c>
      <c r="G6" s="160">
        <v>5.0999999999999996</v>
      </c>
      <c r="H6" s="160">
        <v>6.2</v>
      </c>
      <c r="I6" s="160">
        <v>4.5</v>
      </c>
      <c r="J6" s="160">
        <v>2.8</v>
      </c>
      <c r="K6" s="170" t="s">
        <v>292</v>
      </c>
      <c r="L6" s="170" t="s">
        <v>292</v>
      </c>
    </row>
    <row r="7" spans="1:12">
      <c r="B7" s="11"/>
      <c r="C7" s="157" t="s">
        <v>168</v>
      </c>
      <c r="D7" s="160">
        <v>4.7</v>
      </c>
      <c r="E7" s="160">
        <v>5.4</v>
      </c>
      <c r="F7" s="160">
        <v>4.3</v>
      </c>
      <c r="G7" s="160">
        <v>4.8</v>
      </c>
      <c r="H7" s="160">
        <v>5.6</v>
      </c>
      <c r="I7" s="160">
        <v>4.4000000000000004</v>
      </c>
      <c r="J7" s="160">
        <v>3.5</v>
      </c>
      <c r="K7" s="170" t="s">
        <v>292</v>
      </c>
      <c r="L7" s="170" t="s">
        <v>292</v>
      </c>
    </row>
    <row r="8" spans="1:12">
      <c r="B8" s="11"/>
      <c r="C8" s="157" t="s">
        <v>169</v>
      </c>
      <c r="D8" s="160">
        <v>5.4</v>
      </c>
      <c r="E8" s="160">
        <v>5.7</v>
      </c>
      <c r="F8" s="160">
        <v>5.3</v>
      </c>
      <c r="G8" s="160">
        <v>5.7</v>
      </c>
      <c r="H8" s="160">
        <v>5.9</v>
      </c>
      <c r="I8" s="160">
        <v>5.6</v>
      </c>
      <c r="J8" s="160">
        <v>3.6</v>
      </c>
      <c r="K8" s="170" t="s">
        <v>292</v>
      </c>
      <c r="L8" s="170" t="s">
        <v>292</v>
      </c>
    </row>
    <row r="9" spans="1:12">
      <c r="B9" s="11"/>
      <c r="C9" s="157" t="s">
        <v>170</v>
      </c>
      <c r="D9" s="160">
        <v>5.8</v>
      </c>
      <c r="E9" s="160">
        <v>4.7</v>
      </c>
      <c r="F9" s="160">
        <v>6.4</v>
      </c>
      <c r="G9" s="160">
        <v>6</v>
      </c>
      <c r="H9" s="160">
        <v>4.5999999999999996</v>
      </c>
      <c r="I9" s="160">
        <v>6.7</v>
      </c>
      <c r="J9" s="160">
        <v>4.5</v>
      </c>
      <c r="K9" s="170" t="s">
        <v>292</v>
      </c>
      <c r="L9" s="170" t="s">
        <v>292</v>
      </c>
    </row>
    <row r="10" spans="1:12">
      <c r="B10" s="11"/>
      <c r="C10" s="157">
        <v>1994</v>
      </c>
      <c r="D10" s="160">
        <v>6.5</v>
      </c>
      <c r="E10" s="160">
        <v>6.8</v>
      </c>
      <c r="F10" s="160">
        <v>6.2</v>
      </c>
      <c r="G10" s="160">
        <v>6.7</v>
      </c>
      <c r="H10" s="160">
        <v>6.9</v>
      </c>
      <c r="I10" s="160">
        <v>6.5</v>
      </c>
      <c r="J10" s="160">
        <v>3.9</v>
      </c>
      <c r="K10" s="170" t="s">
        <v>292</v>
      </c>
      <c r="L10" s="170" t="s">
        <v>292</v>
      </c>
    </row>
    <row r="11" spans="1:12" s="14" customFormat="1">
      <c r="B11" s="11"/>
      <c r="C11" s="157">
        <v>1995</v>
      </c>
      <c r="D11" s="160">
        <v>6.9</v>
      </c>
      <c r="E11" s="160">
        <v>7</v>
      </c>
      <c r="F11" s="160">
        <v>6.9</v>
      </c>
      <c r="G11" s="160">
        <v>7.3</v>
      </c>
      <c r="H11" s="160">
        <v>7.6</v>
      </c>
      <c r="I11" s="160">
        <v>7.2</v>
      </c>
      <c r="J11" s="160">
        <v>3.9</v>
      </c>
      <c r="K11" s="170" t="s">
        <v>292</v>
      </c>
      <c r="L11" s="160">
        <v>4.5999999999999996</v>
      </c>
    </row>
    <row r="12" spans="1:12">
      <c r="B12" s="11"/>
      <c r="C12" s="157">
        <v>1996</v>
      </c>
      <c r="D12" s="160">
        <v>6.8</v>
      </c>
      <c r="E12" s="160">
        <v>6.4</v>
      </c>
      <c r="F12" s="160">
        <v>7</v>
      </c>
      <c r="G12" s="160">
        <v>7.2</v>
      </c>
      <c r="H12" s="160">
        <v>6.7</v>
      </c>
      <c r="I12" s="160">
        <v>7.4</v>
      </c>
      <c r="J12" s="160">
        <v>3.5</v>
      </c>
      <c r="K12" s="170" t="s">
        <v>292</v>
      </c>
      <c r="L12" s="170" t="s">
        <v>292</v>
      </c>
    </row>
    <row r="13" spans="1:12">
      <c r="B13" s="11"/>
      <c r="C13" s="157">
        <v>1997</v>
      </c>
      <c r="D13" s="160">
        <v>7.4</v>
      </c>
      <c r="E13" s="160">
        <v>7.3</v>
      </c>
      <c r="F13" s="160">
        <v>7.4</v>
      </c>
      <c r="G13" s="160">
        <v>7.8</v>
      </c>
      <c r="H13" s="160">
        <v>7.6</v>
      </c>
      <c r="I13" s="160">
        <v>7.9</v>
      </c>
      <c r="J13" s="160">
        <v>3.9</v>
      </c>
      <c r="K13" s="170" t="s">
        <v>292</v>
      </c>
      <c r="L13" s="160">
        <v>3.7</v>
      </c>
    </row>
    <row r="14" spans="1:12">
      <c r="B14" s="11"/>
      <c r="C14" s="157">
        <v>1998</v>
      </c>
      <c r="D14" s="160">
        <v>7.2</v>
      </c>
      <c r="E14" s="160">
        <v>6.5</v>
      </c>
      <c r="F14" s="160">
        <v>7.5</v>
      </c>
      <c r="G14" s="160">
        <v>7.3</v>
      </c>
      <c r="H14" s="160">
        <v>6.8</v>
      </c>
      <c r="I14" s="160">
        <v>7.5</v>
      </c>
      <c r="J14" s="160">
        <v>6.3</v>
      </c>
      <c r="K14" s="170" t="s">
        <v>292</v>
      </c>
      <c r="L14" s="160">
        <v>7</v>
      </c>
    </row>
    <row r="15" spans="1:12">
      <c r="B15" s="11"/>
      <c r="C15" s="157">
        <v>1999</v>
      </c>
      <c r="D15" s="160">
        <v>15.4</v>
      </c>
      <c r="E15" s="160">
        <v>13</v>
      </c>
      <c r="F15" s="160">
        <v>16.5</v>
      </c>
      <c r="G15" s="160">
        <v>16.100000000000001</v>
      </c>
      <c r="H15" s="160">
        <v>13.9</v>
      </c>
      <c r="I15" s="160">
        <v>17.100000000000001</v>
      </c>
      <c r="J15" s="160">
        <v>8.9</v>
      </c>
      <c r="K15" s="170" t="s">
        <v>292</v>
      </c>
      <c r="L15" s="160">
        <v>11</v>
      </c>
    </row>
    <row r="16" spans="1:12">
      <c r="B16" s="11"/>
      <c r="C16" s="157">
        <v>2000</v>
      </c>
      <c r="D16" s="160">
        <v>17.5</v>
      </c>
      <c r="E16" s="160">
        <v>14.9</v>
      </c>
      <c r="F16" s="160">
        <v>18.7</v>
      </c>
      <c r="G16" s="160">
        <v>18.2</v>
      </c>
      <c r="H16" s="160">
        <v>15.5</v>
      </c>
      <c r="I16" s="160">
        <v>19.5</v>
      </c>
      <c r="J16" s="160">
        <v>10.7</v>
      </c>
      <c r="K16" s="160">
        <v>9.5</v>
      </c>
      <c r="L16" s="160">
        <v>11.5</v>
      </c>
    </row>
    <row r="17" spans="2:12">
      <c r="B17" s="11"/>
      <c r="C17" s="8">
        <v>2001</v>
      </c>
      <c r="D17" s="160">
        <v>18.7</v>
      </c>
      <c r="E17" s="160">
        <v>16.399999999999999</v>
      </c>
      <c r="F17" s="160">
        <v>19.7</v>
      </c>
      <c r="G17" s="160">
        <v>19.600000000000001</v>
      </c>
      <c r="H17" s="160">
        <v>17.3</v>
      </c>
      <c r="I17" s="160">
        <v>20.6</v>
      </c>
      <c r="J17" s="160">
        <v>10.7</v>
      </c>
      <c r="K17" s="160">
        <v>7.9</v>
      </c>
      <c r="L17" s="160">
        <v>12.2</v>
      </c>
    </row>
    <row r="18" spans="2:12">
      <c r="B18" s="11"/>
      <c r="C18" s="157">
        <v>2002</v>
      </c>
      <c r="D18" s="160">
        <v>19.899999999999999</v>
      </c>
      <c r="E18" s="159">
        <v>16.7</v>
      </c>
      <c r="F18" s="159">
        <v>21.4</v>
      </c>
      <c r="G18" s="159">
        <v>20.7</v>
      </c>
      <c r="H18" s="159">
        <v>17.3</v>
      </c>
      <c r="I18" s="159">
        <v>22.3</v>
      </c>
      <c r="J18" s="159">
        <v>12.3</v>
      </c>
      <c r="K18" s="159">
        <v>10.8</v>
      </c>
      <c r="L18" s="159">
        <v>13</v>
      </c>
    </row>
    <row r="19" spans="2:12">
      <c r="B19" s="11"/>
      <c r="C19" s="157">
        <v>2003</v>
      </c>
      <c r="D19" s="160">
        <v>21.2</v>
      </c>
      <c r="E19" s="159">
        <v>16.600000000000001</v>
      </c>
      <c r="F19" s="159">
        <v>23.4</v>
      </c>
      <c r="G19" s="159">
        <v>22.1</v>
      </c>
      <c r="H19" s="159">
        <v>17.100000000000001</v>
      </c>
      <c r="I19" s="159">
        <v>24.6</v>
      </c>
      <c r="J19" s="159">
        <v>12.8</v>
      </c>
      <c r="K19" s="159">
        <v>13.6</v>
      </c>
      <c r="L19" s="159">
        <v>12.3</v>
      </c>
    </row>
    <row r="20" spans="2:12">
      <c r="B20" s="11"/>
      <c r="C20" s="157">
        <v>2004</v>
      </c>
      <c r="D20" s="160">
        <v>22</v>
      </c>
      <c r="E20" s="159">
        <v>18.2</v>
      </c>
      <c r="F20" s="159">
        <v>23.8</v>
      </c>
      <c r="G20" s="159">
        <v>22.8</v>
      </c>
      <c r="H20" s="159">
        <v>19</v>
      </c>
      <c r="I20" s="159">
        <v>24.7</v>
      </c>
      <c r="J20" s="159">
        <v>13.6</v>
      </c>
      <c r="K20" s="159">
        <v>11.1</v>
      </c>
      <c r="L20" s="159">
        <v>14.5</v>
      </c>
    </row>
    <row r="21" spans="2:12">
      <c r="B21" s="11"/>
      <c r="C21" s="157">
        <v>2005</v>
      </c>
      <c r="D21" s="160">
        <v>22.8</v>
      </c>
      <c r="E21" s="159">
        <v>17.5</v>
      </c>
      <c r="F21" s="159">
        <v>25.5</v>
      </c>
      <c r="G21" s="159">
        <v>23.9</v>
      </c>
      <c r="H21" s="159">
        <v>18.3</v>
      </c>
      <c r="I21" s="159">
        <v>26.8</v>
      </c>
      <c r="J21" s="159">
        <v>12.5</v>
      </c>
      <c r="K21" s="159">
        <v>10.1</v>
      </c>
      <c r="L21" s="159">
        <v>13.8</v>
      </c>
    </row>
    <row r="22" spans="2:12">
      <c r="B22" s="11"/>
      <c r="C22" s="157">
        <v>2006</v>
      </c>
      <c r="D22" s="160">
        <v>22</v>
      </c>
      <c r="E22" s="159">
        <v>17.399999999999999</v>
      </c>
      <c r="F22" s="159">
        <v>24.4</v>
      </c>
      <c r="G22" s="159">
        <v>22.8</v>
      </c>
      <c r="H22" s="159">
        <v>18.2</v>
      </c>
      <c r="I22" s="159">
        <v>25.2</v>
      </c>
      <c r="J22" s="159">
        <v>13.6</v>
      </c>
      <c r="K22" s="159">
        <v>8.6999999999999993</v>
      </c>
      <c r="L22" s="159">
        <v>16.2</v>
      </c>
    </row>
    <row r="23" spans="2:12">
      <c r="B23" s="11"/>
      <c r="C23" s="157">
        <v>2007</v>
      </c>
      <c r="D23" s="160">
        <v>22.4</v>
      </c>
      <c r="E23" s="159">
        <v>18.399999999999999</v>
      </c>
      <c r="F23" s="159">
        <v>24.4</v>
      </c>
      <c r="G23" s="159">
        <v>23.4</v>
      </c>
      <c r="H23" s="159">
        <v>19.3</v>
      </c>
      <c r="I23" s="159">
        <v>25.5</v>
      </c>
      <c r="J23" s="159">
        <v>12.4</v>
      </c>
      <c r="K23" s="159">
        <v>9.5</v>
      </c>
      <c r="L23" s="159">
        <v>13.9</v>
      </c>
    </row>
    <row r="24" spans="2:12">
      <c r="B24" s="11"/>
      <c r="C24" s="157">
        <v>2008</v>
      </c>
      <c r="D24" s="160">
        <v>24.8</v>
      </c>
      <c r="E24" s="159">
        <v>21.2</v>
      </c>
      <c r="F24" s="159">
        <v>26.5</v>
      </c>
      <c r="G24" s="159">
        <v>25.9</v>
      </c>
      <c r="H24" s="159">
        <v>21.9</v>
      </c>
      <c r="I24" s="159">
        <v>27.9</v>
      </c>
      <c r="J24" s="159">
        <v>14.6</v>
      </c>
      <c r="K24" s="159">
        <v>14.8</v>
      </c>
      <c r="L24" s="159">
        <v>14.7</v>
      </c>
    </row>
    <row r="25" spans="2:12">
      <c r="B25" s="11"/>
      <c r="C25" s="157">
        <v>2009</v>
      </c>
      <c r="D25" s="160">
        <v>22.6</v>
      </c>
      <c r="E25" s="159">
        <v>19.100000000000001</v>
      </c>
      <c r="F25" s="159">
        <v>24.5</v>
      </c>
      <c r="G25" s="159">
        <v>23.6</v>
      </c>
      <c r="H25" s="159">
        <v>19.8</v>
      </c>
      <c r="I25" s="159">
        <v>25.8</v>
      </c>
      <c r="J25" s="159">
        <v>13.4</v>
      </c>
      <c r="K25" s="159">
        <v>11.5</v>
      </c>
      <c r="L25" s="159">
        <v>14.2</v>
      </c>
    </row>
    <row r="26" spans="2:12">
      <c r="B26" s="11"/>
      <c r="C26" s="157">
        <v>2010</v>
      </c>
      <c r="D26" s="160">
        <v>23.9</v>
      </c>
      <c r="E26" s="159">
        <v>20.3</v>
      </c>
      <c r="F26" s="159">
        <v>25.9</v>
      </c>
      <c r="G26" s="159">
        <v>24.8</v>
      </c>
      <c r="H26" s="159">
        <v>20.9</v>
      </c>
      <c r="I26" s="159">
        <v>27</v>
      </c>
      <c r="J26" s="159">
        <v>15.6</v>
      </c>
      <c r="K26" s="159">
        <v>15.6</v>
      </c>
      <c r="L26" s="159">
        <v>15.6</v>
      </c>
    </row>
    <row r="27" spans="2:12">
      <c r="B27" s="11"/>
      <c r="C27" s="157">
        <v>2011</v>
      </c>
      <c r="D27" s="160">
        <v>24.6</v>
      </c>
      <c r="E27" s="159">
        <v>21.1</v>
      </c>
      <c r="F27" s="159">
        <v>26.6</v>
      </c>
      <c r="G27" s="159">
        <v>25.2</v>
      </c>
      <c r="H27" s="159">
        <v>21.5</v>
      </c>
      <c r="I27" s="159">
        <v>27.3</v>
      </c>
      <c r="J27" s="159">
        <v>19.2</v>
      </c>
      <c r="K27" s="159">
        <v>17.3</v>
      </c>
      <c r="L27" s="159">
        <v>20</v>
      </c>
    </row>
    <row r="28" spans="2:12">
      <c r="B28" s="11"/>
      <c r="C28" s="157">
        <v>2012</v>
      </c>
      <c r="D28" s="160">
        <v>25.6</v>
      </c>
      <c r="E28" s="159">
        <v>21.2</v>
      </c>
      <c r="F28" s="159">
        <v>28.2</v>
      </c>
      <c r="G28" s="159">
        <v>26.6</v>
      </c>
      <c r="H28" s="159">
        <v>21.9</v>
      </c>
      <c r="I28" s="159">
        <v>29.4</v>
      </c>
      <c r="J28" s="159">
        <v>16.899999999999999</v>
      </c>
      <c r="K28" s="159">
        <v>14.1</v>
      </c>
      <c r="L28" s="159">
        <v>18.2</v>
      </c>
    </row>
    <row r="29" spans="2:12">
      <c r="B29" s="11"/>
      <c r="C29" s="157">
        <v>2013</v>
      </c>
      <c r="D29" s="160">
        <v>26.4</v>
      </c>
      <c r="E29" s="159">
        <v>22</v>
      </c>
      <c r="F29" s="159">
        <v>28.8</v>
      </c>
      <c r="G29" s="159">
        <v>27.2</v>
      </c>
      <c r="H29" s="159">
        <v>22.4</v>
      </c>
      <c r="I29" s="159">
        <v>29.8</v>
      </c>
      <c r="J29" s="159">
        <v>20.5</v>
      </c>
      <c r="K29" s="159">
        <v>19.100000000000001</v>
      </c>
      <c r="L29" s="159">
        <v>20.8</v>
      </c>
    </row>
    <row r="30" spans="2:12">
      <c r="B30" s="11"/>
      <c r="C30" s="157"/>
      <c r="D30" s="160"/>
      <c r="E30" s="159"/>
      <c r="F30" s="159"/>
      <c r="G30" s="159"/>
      <c r="H30" s="159"/>
      <c r="I30" s="159"/>
      <c r="J30" s="159"/>
      <c r="K30" s="159"/>
      <c r="L30" s="159"/>
    </row>
    <row r="31" spans="2:12" ht="15.75">
      <c r="B31" s="162" t="s">
        <v>54</v>
      </c>
      <c r="C31" s="163">
        <v>1994</v>
      </c>
      <c r="D31" s="174">
        <v>2.5</v>
      </c>
      <c r="E31" s="177">
        <v>2.6</v>
      </c>
      <c r="F31" s="177">
        <v>2.5</v>
      </c>
      <c r="G31" s="177">
        <v>2.6</v>
      </c>
      <c r="H31" s="177">
        <v>2.7</v>
      </c>
      <c r="I31" s="177">
        <v>2.6</v>
      </c>
      <c r="J31" s="177">
        <v>1.8</v>
      </c>
      <c r="K31" s="177">
        <v>1.8</v>
      </c>
      <c r="L31" s="177">
        <v>1.7</v>
      </c>
    </row>
    <row r="32" spans="2:12" s="14" customFormat="1" ht="15.75">
      <c r="B32" s="165" t="s">
        <v>55</v>
      </c>
      <c r="C32" s="158" t="s">
        <v>56</v>
      </c>
      <c r="D32" s="160">
        <v>2.7</v>
      </c>
      <c r="E32" s="168">
        <v>2.7</v>
      </c>
      <c r="F32" s="168">
        <v>2.7</v>
      </c>
      <c r="G32" s="168">
        <v>2.8</v>
      </c>
      <c r="H32" s="168">
        <v>2.8</v>
      </c>
      <c r="I32" s="168">
        <v>2.8</v>
      </c>
      <c r="J32" s="168">
        <v>1.9</v>
      </c>
      <c r="K32" s="168">
        <v>2</v>
      </c>
      <c r="L32" s="168">
        <v>1.9</v>
      </c>
    </row>
    <row r="33" spans="2:12">
      <c r="B33" s="166"/>
      <c r="C33" s="158" t="s">
        <v>57</v>
      </c>
      <c r="D33" s="160">
        <v>2.7</v>
      </c>
      <c r="E33" s="168">
        <v>2.6</v>
      </c>
      <c r="F33" s="168">
        <v>2.8</v>
      </c>
      <c r="G33" s="168">
        <v>2.8</v>
      </c>
      <c r="H33" s="168">
        <v>2.7</v>
      </c>
      <c r="I33" s="168">
        <v>2.9</v>
      </c>
      <c r="J33" s="168">
        <v>1.9</v>
      </c>
      <c r="K33" s="168">
        <v>1.8</v>
      </c>
      <c r="L33" s="168">
        <v>1.9</v>
      </c>
    </row>
    <row r="34" spans="2:12">
      <c r="B34" s="166"/>
      <c r="C34" s="158" t="s">
        <v>58</v>
      </c>
      <c r="D34" s="168">
        <v>2.7</v>
      </c>
      <c r="E34" s="168">
        <v>2.5</v>
      </c>
      <c r="F34" s="168">
        <v>2.8</v>
      </c>
      <c r="G34" s="168">
        <v>2.9</v>
      </c>
      <c r="H34" s="168">
        <v>2.6</v>
      </c>
      <c r="I34" s="168">
        <v>3</v>
      </c>
      <c r="J34" s="168">
        <v>1.9</v>
      </c>
      <c r="K34" s="168">
        <v>2</v>
      </c>
      <c r="L34" s="168">
        <v>1.9</v>
      </c>
    </row>
    <row r="35" spans="2:12">
      <c r="B35" s="166"/>
      <c r="C35" s="158" t="s">
        <v>59</v>
      </c>
      <c r="D35" s="127">
        <v>2.6</v>
      </c>
      <c r="E35" s="168">
        <v>2.4</v>
      </c>
      <c r="F35" s="168">
        <v>2.8</v>
      </c>
      <c r="G35" s="168">
        <v>2.8</v>
      </c>
      <c r="H35" s="168">
        <v>2.5</v>
      </c>
      <c r="I35" s="168">
        <v>2.9</v>
      </c>
      <c r="J35" s="168">
        <v>1.9</v>
      </c>
      <c r="K35" s="168">
        <v>1.7</v>
      </c>
      <c r="L35" s="168">
        <v>2.1</v>
      </c>
    </row>
    <row r="36" spans="2:12">
      <c r="B36" s="166"/>
      <c r="C36" s="157">
        <v>1999</v>
      </c>
      <c r="D36" s="160">
        <v>16.5</v>
      </c>
      <c r="E36" s="160">
        <v>14.4</v>
      </c>
      <c r="F36" s="160">
        <v>17.399999999999999</v>
      </c>
      <c r="G36" s="160">
        <v>17.2</v>
      </c>
      <c r="H36" s="160">
        <v>15</v>
      </c>
      <c r="I36" s="160">
        <v>18.100000000000001</v>
      </c>
      <c r="J36" s="160">
        <v>11.3</v>
      </c>
      <c r="K36" s="160">
        <v>10.199999999999999</v>
      </c>
      <c r="L36" s="160">
        <v>11.8</v>
      </c>
    </row>
    <row r="37" spans="2:12">
      <c r="B37" s="166"/>
      <c r="C37" s="8">
        <v>2000</v>
      </c>
      <c r="D37" s="127">
        <v>18</v>
      </c>
      <c r="E37" s="127">
        <v>14.7</v>
      </c>
      <c r="F37" s="127">
        <v>19.5</v>
      </c>
      <c r="G37" s="127">
        <v>18.7</v>
      </c>
      <c r="H37" s="127">
        <v>15.4</v>
      </c>
      <c r="I37" s="127">
        <v>20.3</v>
      </c>
      <c r="J37" s="127">
        <v>13.1</v>
      </c>
      <c r="K37" s="127">
        <v>10.8</v>
      </c>
      <c r="L37" s="127">
        <v>14.2</v>
      </c>
    </row>
    <row r="38" spans="2:12">
      <c r="B38" s="166"/>
      <c r="C38" s="8">
        <v>2001</v>
      </c>
      <c r="D38" s="127">
        <v>19.100000000000001</v>
      </c>
      <c r="E38" s="127">
        <v>16.100000000000001</v>
      </c>
      <c r="F38" s="127">
        <v>20.5</v>
      </c>
      <c r="G38" s="127">
        <v>19.8</v>
      </c>
      <c r="H38" s="127">
        <v>16.7</v>
      </c>
      <c r="I38" s="127">
        <v>21.3</v>
      </c>
      <c r="J38" s="127">
        <v>14.6</v>
      </c>
      <c r="K38" s="127">
        <v>13.1</v>
      </c>
      <c r="L38" s="127">
        <v>15.1</v>
      </c>
    </row>
    <row r="39" spans="2:12">
      <c r="B39" s="166"/>
      <c r="C39" s="8">
        <v>2002</v>
      </c>
      <c r="D39" s="127">
        <v>20.2</v>
      </c>
      <c r="E39" s="127">
        <v>16.600000000000001</v>
      </c>
      <c r="F39" s="127">
        <v>22</v>
      </c>
      <c r="G39" s="127">
        <v>21.1</v>
      </c>
      <c r="H39" s="127">
        <v>17.3</v>
      </c>
      <c r="I39" s="127">
        <v>22.9</v>
      </c>
      <c r="J39" s="127">
        <v>15.2</v>
      </c>
      <c r="K39" s="127">
        <v>13.2</v>
      </c>
      <c r="L39" s="127">
        <v>15.9</v>
      </c>
    </row>
    <row r="40" spans="2:12">
      <c r="B40" s="166"/>
      <c r="C40" s="8">
        <v>2003</v>
      </c>
      <c r="D40" s="127">
        <v>21.4</v>
      </c>
      <c r="E40" s="127">
        <v>17.5</v>
      </c>
      <c r="F40" s="127">
        <v>23.3</v>
      </c>
      <c r="G40" s="127">
        <v>22.2</v>
      </c>
      <c r="H40" s="127">
        <v>18.2</v>
      </c>
      <c r="I40" s="127">
        <v>24.3</v>
      </c>
      <c r="J40" s="127">
        <v>16.600000000000001</v>
      </c>
      <c r="K40" s="127">
        <v>14.7</v>
      </c>
      <c r="L40" s="127">
        <v>17.3</v>
      </c>
    </row>
    <row r="41" spans="2:12">
      <c r="B41" s="166"/>
      <c r="C41" s="8">
        <v>2004</v>
      </c>
      <c r="D41" s="127">
        <v>21.8</v>
      </c>
      <c r="E41" s="127">
        <v>17.7</v>
      </c>
      <c r="F41" s="127">
        <v>23.8</v>
      </c>
      <c r="G41" s="127">
        <v>22.5</v>
      </c>
      <c r="H41" s="127">
        <v>18.3</v>
      </c>
      <c r="I41" s="127">
        <v>24.7</v>
      </c>
      <c r="J41" s="127">
        <v>18.5</v>
      </c>
      <c r="K41" s="127">
        <v>15.2</v>
      </c>
      <c r="L41" s="127">
        <v>19.899999999999999</v>
      </c>
    </row>
    <row r="42" spans="2:12">
      <c r="B42" s="166"/>
      <c r="C42" s="8">
        <v>2005</v>
      </c>
      <c r="D42" s="127">
        <v>22.9</v>
      </c>
      <c r="E42" s="127">
        <v>18.5</v>
      </c>
      <c r="F42" s="127">
        <v>25.1</v>
      </c>
      <c r="G42" s="127">
        <v>23.7</v>
      </c>
      <c r="H42" s="127">
        <v>19</v>
      </c>
      <c r="I42" s="127">
        <v>26.1</v>
      </c>
      <c r="J42" s="127">
        <v>19.399999999999999</v>
      </c>
      <c r="K42" s="127">
        <v>16.399999999999999</v>
      </c>
      <c r="L42" s="127">
        <v>20.7</v>
      </c>
    </row>
    <row r="43" spans="2:12">
      <c r="B43" s="166"/>
      <c r="C43" s="8">
        <v>2006</v>
      </c>
      <c r="D43" s="127">
        <v>22.6</v>
      </c>
      <c r="E43" s="127">
        <v>18.399999999999999</v>
      </c>
      <c r="F43" s="127">
        <v>24.7</v>
      </c>
      <c r="G43" s="127">
        <v>23.4</v>
      </c>
      <c r="H43" s="127">
        <v>19.100000000000001</v>
      </c>
      <c r="I43" s="127">
        <v>25.7</v>
      </c>
      <c r="J43" s="127">
        <v>18.3</v>
      </c>
      <c r="K43" s="127">
        <v>14.7</v>
      </c>
      <c r="L43" s="127">
        <v>19.8</v>
      </c>
    </row>
    <row r="44" spans="2:12">
      <c r="B44" s="166"/>
      <c r="C44" s="8">
        <v>2007</v>
      </c>
      <c r="D44" s="127">
        <v>22.7</v>
      </c>
      <c r="E44" s="127">
        <v>18.5</v>
      </c>
      <c r="F44" s="127">
        <v>24.9</v>
      </c>
      <c r="G44" s="127">
        <v>23.5</v>
      </c>
      <c r="H44" s="127">
        <v>19.100000000000001</v>
      </c>
      <c r="I44" s="127">
        <v>25.9</v>
      </c>
      <c r="J44" s="127">
        <v>19</v>
      </c>
      <c r="K44" s="127">
        <v>15.6</v>
      </c>
      <c r="L44" s="127">
        <v>20.6</v>
      </c>
    </row>
    <row r="45" spans="2:12">
      <c r="B45" s="166"/>
      <c r="C45" s="8">
        <v>2008</v>
      </c>
      <c r="D45" s="127">
        <v>25.8</v>
      </c>
      <c r="E45" s="127">
        <v>21.3</v>
      </c>
      <c r="F45" s="127">
        <v>28.2</v>
      </c>
      <c r="G45" s="127">
        <v>26.7</v>
      </c>
      <c r="H45" s="127">
        <v>22</v>
      </c>
      <c r="I45" s="127">
        <v>29.3</v>
      </c>
      <c r="J45" s="127">
        <v>21.2</v>
      </c>
      <c r="K45" s="127">
        <v>17.899999999999999</v>
      </c>
      <c r="L45" s="127">
        <v>22.5</v>
      </c>
    </row>
    <row r="46" spans="2:12">
      <c r="B46" s="166"/>
      <c r="C46" s="8">
        <v>2009</v>
      </c>
      <c r="D46" s="127">
        <v>24.2</v>
      </c>
      <c r="E46" s="127">
        <v>20.2</v>
      </c>
      <c r="F46" s="127">
        <v>26.3</v>
      </c>
      <c r="G46" s="127">
        <v>25</v>
      </c>
      <c r="H46" s="127">
        <v>20.8</v>
      </c>
      <c r="I46" s="127">
        <v>27.3</v>
      </c>
      <c r="J46" s="127">
        <v>20.6</v>
      </c>
      <c r="K46" s="127">
        <v>17.8</v>
      </c>
      <c r="L46" s="127">
        <v>21.7</v>
      </c>
    </row>
    <row r="47" spans="2:12">
      <c r="B47" s="166"/>
      <c r="C47" s="8">
        <v>2010</v>
      </c>
      <c r="D47" s="127">
        <v>25.1</v>
      </c>
      <c r="E47" s="127">
        <v>21</v>
      </c>
      <c r="F47" s="127">
        <v>27.3</v>
      </c>
      <c r="G47" s="127">
        <v>26</v>
      </c>
      <c r="H47" s="127">
        <v>21.7</v>
      </c>
      <c r="I47" s="127">
        <v>28.4</v>
      </c>
      <c r="J47" s="127">
        <v>20.6</v>
      </c>
      <c r="K47" s="127">
        <v>17.899999999999999</v>
      </c>
      <c r="L47" s="127">
        <v>21.7</v>
      </c>
    </row>
    <row r="48" spans="2:12">
      <c r="B48" s="166"/>
      <c r="C48" s="8">
        <v>2011</v>
      </c>
      <c r="D48" s="127">
        <v>24.7</v>
      </c>
      <c r="E48" s="127">
        <v>20.399999999999999</v>
      </c>
      <c r="F48" s="127">
        <v>27.1</v>
      </c>
      <c r="G48" s="127">
        <v>25.7</v>
      </c>
      <c r="H48" s="127">
        <v>21.1</v>
      </c>
      <c r="I48" s="127">
        <v>28.2</v>
      </c>
      <c r="J48" s="127">
        <v>20.8</v>
      </c>
      <c r="K48" s="127">
        <v>18</v>
      </c>
      <c r="L48" s="127">
        <v>21.9</v>
      </c>
    </row>
    <row r="49" spans="2:12">
      <c r="B49" s="166"/>
      <c r="C49" s="8">
        <v>2012</v>
      </c>
      <c r="D49" s="127">
        <v>23.8</v>
      </c>
      <c r="E49" s="127">
        <v>19.8</v>
      </c>
      <c r="F49" s="127">
        <v>26.1</v>
      </c>
      <c r="G49" s="127">
        <v>24.7</v>
      </c>
      <c r="H49" s="127">
        <v>20.5</v>
      </c>
      <c r="I49" s="127">
        <v>27.1</v>
      </c>
      <c r="J49" s="127">
        <v>19.899999999999999</v>
      </c>
      <c r="K49" s="127">
        <v>17</v>
      </c>
      <c r="L49" s="127">
        <v>21</v>
      </c>
    </row>
    <row r="50" spans="2:12">
      <c r="B50" s="171"/>
      <c r="C50" s="6"/>
      <c r="D50" s="175"/>
      <c r="E50" s="175"/>
      <c r="F50" s="175"/>
      <c r="G50" s="175"/>
      <c r="H50" s="175"/>
      <c r="I50" s="175"/>
      <c r="J50" s="175"/>
      <c r="K50" s="175"/>
      <c r="L50" s="175"/>
    </row>
    <row r="51" spans="2:12" ht="29.25" customHeight="1">
      <c r="B51" s="347" t="s">
        <v>615</v>
      </c>
      <c r="C51" s="348"/>
      <c r="D51" s="348"/>
      <c r="E51" s="348"/>
      <c r="F51" s="348"/>
      <c r="G51" s="348"/>
      <c r="H51" s="348"/>
      <c r="I51" s="348"/>
      <c r="J51" s="348"/>
      <c r="K51" s="348"/>
      <c r="L51" s="348"/>
    </row>
    <row r="52" spans="2:12" ht="58.5" customHeight="1">
      <c r="B52" s="347" t="s">
        <v>60</v>
      </c>
      <c r="C52" s="348"/>
      <c r="D52" s="348"/>
      <c r="E52" s="348"/>
      <c r="F52" s="348"/>
      <c r="G52" s="348"/>
      <c r="H52" s="348"/>
      <c r="I52" s="348"/>
      <c r="J52" s="348"/>
      <c r="K52" s="348"/>
      <c r="L52" s="348"/>
    </row>
    <row r="53" spans="2:12" ht="81" customHeight="1">
      <c r="B53" s="347" t="s">
        <v>61</v>
      </c>
      <c r="C53" s="348"/>
      <c r="D53" s="348"/>
      <c r="E53" s="348"/>
      <c r="F53" s="348"/>
      <c r="G53" s="348"/>
      <c r="H53" s="348"/>
      <c r="I53" s="348"/>
      <c r="J53" s="348"/>
      <c r="K53" s="348"/>
      <c r="L53" s="348"/>
    </row>
    <row r="54" spans="2:12" ht="30.75" customHeight="1">
      <c r="B54" s="347" t="s">
        <v>62</v>
      </c>
      <c r="C54" s="348"/>
      <c r="D54" s="348"/>
      <c r="E54" s="348"/>
      <c r="F54" s="348"/>
      <c r="G54" s="348"/>
      <c r="H54" s="348"/>
      <c r="I54" s="348"/>
      <c r="J54" s="348"/>
      <c r="K54" s="348"/>
      <c r="L54" s="348"/>
    </row>
  </sheetData>
  <mergeCells count="6">
    <mergeCell ref="B53:L53"/>
    <mergeCell ref="B54:L54"/>
    <mergeCell ref="B4:B5"/>
    <mergeCell ref="C4:C5"/>
    <mergeCell ref="B51:L51"/>
    <mergeCell ref="B52:L52"/>
  </mergeCells>
  <phoneticPr fontId="1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18"/>
  <sheetViews>
    <sheetView workbookViewId="0"/>
  </sheetViews>
  <sheetFormatPr defaultRowHeight="15"/>
  <cols>
    <col min="1" max="1" width="4.5" style="2" customWidth="1"/>
    <col min="2" max="2" width="7.5" style="2" bestFit="1" customWidth="1"/>
    <col min="3" max="3" width="11.1640625" style="2" bestFit="1" customWidth="1"/>
    <col min="4" max="4" width="8.33203125" style="2" bestFit="1" customWidth="1"/>
    <col min="5" max="9" width="9.6640625" style="2" bestFit="1" customWidth="1"/>
    <col min="10" max="10" width="8.33203125" style="2" bestFit="1" customWidth="1"/>
    <col min="11" max="11" width="6" style="2" bestFit="1" customWidth="1"/>
    <col min="12" max="12" width="14" style="2" bestFit="1" customWidth="1"/>
    <col min="13" max="16384" width="9.33203125" style="2"/>
  </cols>
  <sheetData>
    <row r="2" spans="2:12">
      <c r="B2" s="3" t="s">
        <v>262</v>
      </c>
      <c r="C2" s="4"/>
      <c r="D2" s="4"/>
      <c r="E2" s="4"/>
      <c r="F2" s="4"/>
      <c r="G2" s="4"/>
      <c r="H2" s="4"/>
      <c r="I2" s="4"/>
      <c r="J2" s="4"/>
      <c r="K2" s="4"/>
      <c r="L2" s="4"/>
    </row>
    <row r="3" spans="2:12" ht="15.75">
      <c r="B3" s="5" t="s">
        <v>263</v>
      </c>
      <c r="C3" s="4"/>
      <c r="D3" s="4"/>
      <c r="E3" s="4"/>
      <c r="F3" s="4"/>
      <c r="G3" s="4"/>
      <c r="H3" s="4"/>
      <c r="I3" s="4"/>
      <c r="J3" s="4"/>
      <c r="K3" s="4"/>
      <c r="L3" s="4"/>
    </row>
    <row r="4" spans="2:12">
      <c r="B4" s="3" t="s">
        <v>566</v>
      </c>
      <c r="C4" s="4"/>
      <c r="D4" s="4"/>
      <c r="E4" s="4"/>
      <c r="F4" s="4"/>
      <c r="G4" s="4"/>
      <c r="H4" s="4"/>
      <c r="I4" s="4"/>
      <c r="J4" s="4"/>
      <c r="K4" s="4"/>
      <c r="L4" s="4"/>
    </row>
    <row r="5" spans="2:12">
      <c r="B5" s="282" t="s">
        <v>157</v>
      </c>
      <c r="C5" s="39" t="s">
        <v>264</v>
      </c>
      <c r="D5" s="40"/>
      <c r="E5" s="40"/>
      <c r="F5" s="40"/>
      <c r="G5" s="40"/>
      <c r="H5" s="40"/>
      <c r="I5" s="40"/>
      <c r="J5" s="40"/>
      <c r="K5" s="40"/>
      <c r="L5" s="41"/>
    </row>
    <row r="6" spans="2:12">
      <c r="B6" s="283"/>
      <c r="C6" s="20" t="s">
        <v>174</v>
      </c>
      <c r="D6" s="20" t="s">
        <v>265</v>
      </c>
      <c r="E6" s="20" t="s">
        <v>266</v>
      </c>
      <c r="F6" s="20" t="s">
        <v>267</v>
      </c>
      <c r="G6" s="20" t="s">
        <v>268</v>
      </c>
      <c r="H6" s="20" t="s">
        <v>269</v>
      </c>
      <c r="I6" s="20" t="s">
        <v>270</v>
      </c>
      <c r="J6" s="20" t="s">
        <v>271</v>
      </c>
      <c r="K6" s="20" t="s">
        <v>272</v>
      </c>
      <c r="L6" s="20" t="s">
        <v>298</v>
      </c>
    </row>
    <row r="7" spans="2:12">
      <c r="B7" s="8" t="s">
        <v>160</v>
      </c>
      <c r="C7" s="22">
        <v>92740</v>
      </c>
      <c r="D7" s="22">
        <v>34</v>
      </c>
      <c r="E7" s="22">
        <v>8129</v>
      </c>
      <c r="F7" s="22">
        <v>26344</v>
      </c>
      <c r="G7" s="22">
        <v>26251</v>
      </c>
      <c r="H7" s="22">
        <v>17521</v>
      </c>
      <c r="I7" s="22">
        <v>10427</v>
      </c>
      <c r="J7" s="22">
        <v>3523</v>
      </c>
      <c r="K7" s="22">
        <v>336</v>
      </c>
      <c r="L7" s="22">
        <v>175</v>
      </c>
    </row>
    <row r="8" spans="2:12">
      <c r="B8" s="8" t="s">
        <v>198</v>
      </c>
      <c r="C8" s="22">
        <v>96322</v>
      </c>
      <c r="D8" s="22">
        <v>39</v>
      </c>
      <c r="E8" s="22">
        <v>8747</v>
      </c>
      <c r="F8" s="22">
        <v>26583</v>
      </c>
      <c r="G8" s="22">
        <v>27292</v>
      </c>
      <c r="H8" s="22">
        <v>18433</v>
      </c>
      <c r="I8" s="22">
        <v>11150</v>
      </c>
      <c r="J8" s="22">
        <v>3572</v>
      </c>
      <c r="K8" s="22">
        <v>337</v>
      </c>
      <c r="L8" s="22">
        <v>169</v>
      </c>
    </row>
    <row r="9" spans="2:12">
      <c r="B9" s="8" t="s">
        <v>199</v>
      </c>
      <c r="C9" s="22">
        <v>90209</v>
      </c>
      <c r="D9" s="22">
        <v>28</v>
      </c>
      <c r="E9" s="22">
        <v>8125</v>
      </c>
      <c r="F9" s="22">
        <v>24575</v>
      </c>
      <c r="G9" s="22">
        <v>25154</v>
      </c>
      <c r="H9" s="22">
        <v>17690</v>
      </c>
      <c r="I9" s="22">
        <v>10584</v>
      </c>
      <c r="J9" s="22">
        <v>3485</v>
      </c>
      <c r="K9" s="22">
        <v>343</v>
      </c>
      <c r="L9" s="22">
        <v>225</v>
      </c>
    </row>
    <row r="10" spans="2:12">
      <c r="B10" s="8" t="s">
        <v>200</v>
      </c>
      <c r="C10" s="22">
        <v>93066</v>
      </c>
      <c r="D10" s="22">
        <v>37</v>
      </c>
      <c r="E10" s="22">
        <v>8725</v>
      </c>
      <c r="F10" s="22">
        <v>25887</v>
      </c>
      <c r="G10" s="22">
        <v>25459</v>
      </c>
      <c r="H10" s="22">
        <v>18072</v>
      </c>
      <c r="I10" s="22">
        <v>10770</v>
      </c>
      <c r="J10" s="22">
        <v>3476</v>
      </c>
      <c r="K10" s="22">
        <v>382</v>
      </c>
      <c r="L10" s="22">
        <v>258</v>
      </c>
    </row>
    <row r="11" spans="2:12">
      <c r="B11" s="8" t="s">
        <v>201</v>
      </c>
      <c r="C11" s="22">
        <v>98025</v>
      </c>
      <c r="D11" s="22">
        <v>38</v>
      </c>
      <c r="E11" s="22">
        <v>9877</v>
      </c>
      <c r="F11" s="22">
        <v>28000</v>
      </c>
      <c r="G11" s="22">
        <v>25781</v>
      </c>
      <c r="H11" s="22">
        <v>18707</v>
      </c>
      <c r="I11" s="22">
        <v>11395</v>
      </c>
      <c r="J11" s="22">
        <v>3682</v>
      </c>
      <c r="K11" s="22">
        <v>321</v>
      </c>
      <c r="L11" s="22">
        <v>224</v>
      </c>
    </row>
    <row r="12" spans="2:12">
      <c r="B12" s="8" t="s">
        <v>202</v>
      </c>
      <c r="C12" s="22">
        <v>99220</v>
      </c>
      <c r="D12" s="22">
        <v>62</v>
      </c>
      <c r="E12" s="22">
        <v>10248</v>
      </c>
      <c r="F12" s="22">
        <v>28116</v>
      </c>
      <c r="G12" s="22">
        <v>26204</v>
      </c>
      <c r="H12" s="22">
        <v>18869</v>
      </c>
      <c r="I12" s="22">
        <v>11406</v>
      </c>
      <c r="J12" s="22">
        <v>3695</v>
      </c>
      <c r="K12" s="22">
        <v>379</v>
      </c>
      <c r="L12" s="22">
        <v>241</v>
      </c>
    </row>
    <row r="13" spans="2:12">
      <c r="B13" s="8" t="s">
        <v>203</v>
      </c>
      <c r="C13" s="22">
        <v>98781</v>
      </c>
      <c r="D13" s="22">
        <v>76</v>
      </c>
      <c r="E13" s="22">
        <v>10496</v>
      </c>
      <c r="F13" s="22">
        <v>28479</v>
      </c>
      <c r="G13" s="22">
        <v>25876</v>
      </c>
      <c r="H13" s="22">
        <v>18444</v>
      </c>
      <c r="I13" s="22">
        <v>11219</v>
      </c>
      <c r="J13" s="22">
        <v>3568</v>
      </c>
      <c r="K13" s="22">
        <v>354</v>
      </c>
      <c r="L13" s="22">
        <v>269</v>
      </c>
    </row>
    <row r="14" spans="2:12">
      <c r="B14" s="8" t="s">
        <v>204</v>
      </c>
      <c r="C14" s="22">
        <v>100178</v>
      </c>
      <c r="D14" s="22">
        <v>59</v>
      </c>
      <c r="E14" s="22">
        <v>10685</v>
      </c>
      <c r="F14" s="22">
        <v>29302</v>
      </c>
      <c r="G14" s="22">
        <v>25707</v>
      </c>
      <c r="H14" s="22">
        <v>18790</v>
      </c>
      <c r="I14" s="22">
        <v>11287</v>
      </c>
      <c r="J14" s="22">
        <v>3722</v>
      </c>
      <c r="K14" s="22">
        <v>332</v>
      </c>
      <c r="L14" s="22">
        <v>294</v>
      </c>
    </row>
    <row r="15" spans="2:12">
      <c r="B15" s="8" t="s">
        <v>205</v>
      </c>
      <c r="C15" s="22">
        <v>97797</v>
      </c>
      <c r="D15" s="22">
        <v>54</v>
      </c>
      <c r="E15" s="22">
        <v>10788</v>
      </c>
      <c r="F15" s="22">
        <v>28895</v>
      </c>
      <c r="G15" s="22">
        <v>25003</v>
      </c>
      <c r="H15" s="22">
        <v>17953</v>
      </c>
      <c r="I15" s="22">
        <v>10913</v>
      </c>
      <c r="J15" s="22">
        <v>3558</v>
      </c>
      <c r="K15" s="22">
        <v>315</v>
      </c>
      <c r="L15" s="22">
        <v>318</v>
      </c>
    </row>
    <row r="16" spans="2:12">
      <c r="B16" s="8" t="s">
        <v>206</v>
      </c>
      <c r="C16" s="22">
        <v>99134</v>
      </c>
      <c r="D16" s="22">
        <v>56</v>
      </c>
      <c r="E16" s="22">
        <v>11312</v>
      </c>
      <c r="F16" s="22">
        <v>30582</v>
      </c>
      <c r="G16" s="22">
        <v>25557</v>
      </c>
      <c r="H16" s="22">
        <v>16957</v>
      </c>
      <c r="I16" s="22">
        <v>10555</v>
      </c>
      <c r="J16" s="22">
        <v>3523</v>
      </c>
      <c r="K16" s="22">
        <v>293</v>
      </c>
      <c r="L16" s="22">
        <v>299</v>
      </c>
    </row>
    <row r="17" spans="2:12">
      <c r="B17" s="11"/>
      <c r="C17" s="22"/>
      <c r="D17" s="22"/>
      <c r="E17" s="24"/>
      <c r="F17" s="22"/>
      <c r="G17" s="22"/>
      <c r="H17" s="22"/>
      <c r="I17" s="22"/>
      <c r="J17" s="22"/>
      <c r="K17" s="22"/>
      <c r="L17" s="22"/>
    </row>
    <row r="18" spans="2:12">
      <c r="B18" s="8" t="s">
        <v>161</v>
      </c>
      <c r="C18" s="22">
        <v>99325</v>
      </c>
      <c r="D18" s="22">
        <v>60</v>
      </c>
      <c r="E18" s="22">
        <v>11476</v>
      </c>
      <c r="F18" s="22">
        <v>29956</v>
      </c>
      <c r="G18" s="22">
        <v>25861</v>
      </c>
      <c r="H18" s="22">
        <v>17125</v>
      </c>
      <c r="I18" s="22">
        <v>10684</v>
      </c>
      <c r="J18" s="22">
        <v>3582</v>
      </c>
      <c r="K18" s="22">
        <v>291</v>
      </c>
      <c r="L18" s="22">
        <v>290</v>
      </c>
    </row>
    <row r="19" spans="2:12">
      <c r="B19" s="8" t="s">
        <v>207</v>
      </c>
      <c r="C19" s="22">
        <v>90929</v>
      </c>
      <c r="D19" s="22">
        <v>61</v>
      </c>
      <c r="E19" s="22">
        <v>10109</v>
      </c>
      <c r="F19" s="22">
        <v>27255</v>
      </c>
      <c r="G19" s="22">
        <v>23806</v>
      </c>
      <c r="H19" s="22">
        <v>15937</v>
      </c>
      <c r="I19" s="22">
        <v>9905</v>
      </c>
      <c r="J19" s="22">
        <v>3317</v>
      </c>
      <c r="K19" s="22">
        <v>302</v>
      </c>
      <c r="L19" s="22">
        <v>237</v>
      </c>
    </row>
    <row r="20" spans="2:12">
      <c r="B20" s="8" t="s">
        <v>208</v>
      </c>
      <c r="C20" s="22">
        <v>85736</v>
      </c>
      <c r="D20" s="22">
        <v>62</v>
      </c>
      <c r="E20" s="22">
        <v>9297</v>
      </c>
      <c r="F20" s="22">
        <v>25686</v>
      </c>
      <c r="G20" s="22">
        <v>22608</v>
      </c>
      <c r="H20" s="22">
        <v>14988</v>
      </c>
      <c r="I20" s="22">
        <v>9314</v>
      </c>
      <c r="J20" s="22">
        <v>3250</v>
      </c>
      <c r="K20" s="22">
        <v>291</v>
      </c>
      <c r="L20" s="22">
        <v>240</v>
      </c>
    </row>
    <row r="21" spans="2:12">
      <c r="B21" s="8" t="s">
        <v>209</v>
      </c>
      <c r="C21" s="22">
        <v>80923</v>
      </c>
      <c r="D21" s="22">
        <v>52</v>
      </c>
      <c r="E21" s="22">
        <v>8642</v>
      </c>
      <c r="F21" s="22">
        <v>23874</v>
      </c>
      <c r="G21" s="22">
        <v>21618</v>
      </c>
      <c r="H21" s="22">
        <v>14298</v>
      </c>
      <c r="I21" s="22">
        <v>8795</v>
      </c>
      <c r="J21" s="22">
        <v>3173</v>
      </c>
      <c r="K21" s="22">
        <v>261</v>
      </c>
      <c r="L21" s="22">
        <v>210</v>
      </c>
    </row>
    <row r="22" spans="2:12">
      <c r="B22" s="8" t="s">
        <v>210</v>
      </c>
      <c r="C22" s="22">
        <v>83925</v>
      </c>
      <c r="D22" s="22">
        <v>48</v>
      </c>
      <c r="E22" s="22">
        <v>9039</v>
      </c>
      <c r="F22" s="22">
        <v>25458</v>
      </c>
      <c r="G22" s="22">
        <v>22507</v>
      </c>
      <c r="H22" s="22">
        <v>14968</v>
      </c>
      <c r="I22" s="22">
        <v>8391</v>
      </c>
      <c r="J22" s="22">
        <v>3050</v>
      </c>
      <c r="K22" s="22">
        <v>259</v>
      </c>
      <c r="L22" s="22">
        <v>205</v>
      </c>
    </row>
    <row r="23" spans="2:12">
      <c r="B23" s="8" t="s">
        <v>211</v>
      </c>
      <c r="C23" s="22">
        <v>87446</v>
      </c>
      <c r="D23" s="22">
        <v>47</v>
      </c>
      <c r="E23" s="22">
        <v>9808</v>
      </c>
      <c r="F23" s="22">
        <v>27631</v>
      </c>
      <c r="G23" s="22">
        <v>22938</v>
      </c>
      <c r="H23" s="22">
        <v>15026</v>
      </c>
      <c r="I23" s="22">
        <v>8473</v>
      </c>
      <c r="J23" s="22">
        <v>3029</v>
      </c>
      <c r="K23" s="22">
        <v>284</v>
      </c>
      <c r="L23" s="22">
        <v>210</v>
      </c>
    </row>
    <row r="24" spans="2:12">
      <c r="B24" s="8" t="s">
        <v>212</v>
      </c>
      <c r="C24" s="22">
        <v>88427</v>
      </c>
      <c r="D24" s="22">
        <v>53</v>
      </c>
      <c r="E24" s="22">
        <v>9764</v>
      </c>
      <c r="F24" s="22">
        <v>28681</v>
      </c>
      <c r="G24" s="22">
        <v>23584</v>
      </c>
      <c r="H24" s="22">
        <v>14814</v>
      </c>
      <c r="I24" s="22">
        <v>8194</v>
      </c>
      <c r="J24" s="22">
        <v>2866</v>
      </c>
      <c r="K24" s="22">
        <v>274</v>
      </c>
      <c r="L24" s="22">
        <v>197</v>
      </c>
    </row>
    <row r="25" spans="2:12">
      <c r="B25" s="8" t="s">
        <v>213</v>
      </c>
      <c r="C25" s="22">
        <v>91539</v>
      </c>
      <c r="D25" s="22">
        <v>54</v>
      </c>
      <c r="E25" s="22">
        <v>10524</v>
      </c>
      <c r="F25" s="22">
        <v>30532</v>
      </c>
      <c r="G25" s="22">
        <v>24366</v>
      </c>
      <c r="H25" s="22">
        <v>15022</v>
      </c>
      <c r="I25" s="22">
        <v>7949</v>
      </c>
      <c r="J25" s="22">
        <v>2653</v>
      </c>
      <c r="K25" s="22">
        <v>242</v>
      </c>
      <c r="L25" s="22">
        <v>197</v>
      </c>
    </row>
    <row r="26" spans="2:12">
      <c r="B26" s="8" t="s">
        <v>214</v>
      </c>
      <c r="C26" s="22">
        <v>96963</v>
      </c>
      <c r="D26" s="22">
        <v>64</v>
      </c>
      <c r="E26" s="22">
        <v>11024</v>
      </c>
      <c r="F26" s="22">
        <v>32581</v>
      </c>
      <c r="G26" s="22">
        <v>26116</v>
      </c>
      <c r="H26" s="22">
        <v>15690</v>
      </c>
      <c r="I26" s="22">
        <v>8397</v>
      </c>
      <c r="J26" s="22">
        <v>2698</v>
      </c>
      <c r="K26" s="22">
        <v>253</v>
      </c>
      <c r="L26" s="22">
        <v>140</v>
      </c>
    </row>
    <row r="27" spans="2:12">
      <c r="B27" s="8" t="s">
        <v>215</v>
      </c>
      <c r="C27" s="22">
        <v>94302</v>
      </c>
      <c r="D27" s="22">
        <v>51</v>
      </c>
      <c r="E27" s="22">
        <v>10368</v>
      </c>
      <c r="F27" s="22">
        <v>31036</v>
      </c>
      <c r="G27" s="22">
        <v>26095</v>
      </c>
      <c r="H27" s="22">
        <v>15976</v>
      </c>
      <c r="I27" s="22">
        <v>8021</v>
      </c>
      <c r="J27" s="22">
        <v>2416</v>
      </c>
      <c r="K27" s="22">
        <v>209</v>
      </c>
      <c r="L27" s="22">
        <v>130</v>
      </c>
    </row>
    <row r="28" spans="2:12">
      <c r="B28" s="11"/>
      <c r="C28" s="22"/>
      <c r="D28" s="22"/>
      <c r="E28" s="22"/>
      <c r="F28" s="22"/>
      <c r="G28" s="22"/>
      <c r="H28" s="22"/>
      <c r="I28" s="22"/>
      <c r="J28" s="22"/>
      <c r="K28" s="22"/>
      <c r="L28" s="22"/>
    </row>
    <row r="29" spans="2:12">
      <c r="B29" s="8" t="s">
        <v>162</v>
      </c>
      <c r="C29" s="22">
        <v>99021</v>
      </c>
      <c r="D29" s="22">
        <v>51</v>
      </c>
      <c r="E29" s="22">
        <v>10671</v>
      </c>
      <c r="F29" s="22">
        <v>32960</v>
      </c>
      <c r="G29" s="22">
        <v>27860</v>
      </c>
      <c r="H29" s="22">
        <v>16549</v>
      </c>
      <c r="I29" s="22">
        <v>8146</v>
      </c>
      <c r="J29" s="22">
        <v>2390</v>
      </c>
      <c r="K29" s="22">
        <v>202</v>
      </c>
      <c r="L29" s="22">
        <v>192</v>
      </c>
    </row>
    <row r="30" spans="2:12">
      <c r="B30" s="8" t="s">
        <v>216</v>
      </c>
      <c r="C30" s="22">
        <v>107458</v>
      </c>
      <c r="D30" s="22">
        <v>50</v>
      </c>
      <c r="E30" s="22">
        <v>11309</v>
      </c>
      <c r="F30" s="22">
        <v>36833</v>
      </c>
      <c r="G30" s="22">
        <v>31067</v>
      </c>
      <c r="H30" s="22">
        <v>17132</v>
      </c>
      <c r="I30" s="22">
        <v>8351</v>
      </c>
      <c r="J30" s="22">
        <v>2361</v>
      </c>
      <c r="K30" s="22">
        <v>200</v>
      </c>
      <c r="L30" s="22">
        <v>155</v>
      </c>
    </row>
    <row r="31" spans="2:12">
      <c r="B31" s="8" t="s">
        <v>217</v>
      </c>
      <c r="C31" s="22">
        <v>123886</v>
      </c>
      <c r="D31" s="22">
        <v>66</v>
      </c>
      <c r="E31" s="22">
        <v>12721</v>
      </c>
      <c r="F31" s="22">
        <v>43947</v>
      </c>
      <c r="G31" s="22">
        <v>36034</v>
      </c>
      <c r="H31" s="22">
        <v>19367</v>
      </c>
      <c r="I31" s="22">
        <v>8985</v>
      </c>
      <c r="J31" s="22">
        <v>2445</v>
      </c>
      <c r="K31" s="22">
        <v>202</v>
      </c>
      <c r="L31" s="22">
        <v>119</v>
      </c>
    </row>
    <row r="32" spans="2:12">
      <c r="B32" s="8" t="s">
        <v>218</v>
      </c>
      <c r="C32" s="22">
        <v>125778</v>
      </c>
      <c r="D32" s="22">
        <v>67</v>
      </c>
      <c r="E32" s="22">
        <v>11934</v>
      </c>
      <c r="F32" s="22">
        <v>41627</v>
      </c>
      <c r="G32" s="22">
        <v>37773</v>
      </c>
      <c r="H32" s="22">
        <v>21449</v>
      </c>
      <c r="I32" s="22">
        <v>9980</v>
      </c>
      <c r="J32" s="22">
        <v>2615</v>
      </c>
      <c r="K32" s="22">
        <v>184</v>
      </c>
      <c r="L32" s="22">
        <v>149</v>
      </c>
    </row>
    <row r="33" spans="2:12">
      <c r="B33" s="8" t="s">
        <v>219</v>
      </c>
      <c r="C33" s="22">
        <v>114700</v>
      </c>
      <c r="D33" s="22">
        <v>76</v>
      </c>
      <c r="E33" s="22">
        <v>10113</v>
      </c>
      <c r="F33" s="22">
        <v>36096</v>
      </c>
      <c r="G33" s="22">
        <v>33654</v>
      </c>
      <c r="H33" s="22">
        <v>21094</v>
      </c>
      <c r="I33" s="22">
        <v>10636</v>
      </c>
      <c r="J33" s="22">
        <v>2714</v>
      </c>
      <c r="K33" s="22">
        <v>182</v>
      </c>
      <c r="L33" s="22">
        <v>135</v>
      </c>
    </row>
    <row r="34" spans="2:12">
      <c r="B34" s="8" t="s">
        <v>220</v>
      </c>
      <c r="C34" s="22">
        <v>112655</v>
      </c>
      <c r="D34" s="22">
        <v>73</v>
      </c>
      <c r="E34" s="22">
        <v>9294</v>
      </c>
      <c r="F34" s="22">
        <v>32790</v>
      </c>
      <c r="G34" s="22">
        <v>33143</v>
      </c>
      <c r="H34" s="22">
        <v>22831</v>
      </c>
      <c r="I34" s="22">
        <v>11185</v>
      </c>
      <c r="J34" s="22">
        <v>2970</v>
      </c>
      <c r="K34" s="22">
        <v>229</v>
      </c>
      <c r="L34" s="22">
        <v>140</v>
      </c>
    </row>
    <row r="35" spans="2:12">
      <c r="B35" s="8" t="s">
        <v>221</v>
      </c>
      <c r="C35" s="22">
        <v>139277</v>
      </c>
      <c r="D35" s="22">
        <v>72</v>
      </c>
      <c r="E35" s="22">
        <v>10899</v>
      </c>
      <c r="F35" s="22">
        <v>45999</v>
      </c>
      <c r="G35" s="22">
        <v>41985</v>
      </c>
      <c r="H35" s="22">
        <v>25184</v>
      </c>
      <c r="I35" s="22">
        <v>11811</v>
      </c>
      <c r="J35" s="22">
        <v>3002</v>
      </c>
      <c r="K35" s="22">
        <v>223</v>
      </c>
      <c r="L35" s="22">
        <v>102</v>
      </c>
    </row>
    <row r="36" spans="2:12">
      <c r="B36" s="8" t="s">
        <v>222</v>
      </c>
      <c r="C36" s="22">
        <v>161085</v>
      </c>
      <c r="D36" s="22">
        <v>91</v>
      </c>
      <c r="E36" s="22">
        <v>15594</v>
      </c>
      <c r="F36" s="22">
        <v>55954</v>
      </c>
      <c r="G36" s="22">
        <v>47793</v>
      </c>
      <c r="H36" s="22">
        <v>26296</v>
      </c>
      <c r="I36" s="22">
        <v>12009</v>
      </c>
      <c r="J36" s="22">
        <v>3073</v>
      </c>
      <c r="K36" s="22">
        <v>182</v>
      </c>
      <c r="L36" s="22">
        <v>93</v>
      </c>
    </row>
    <row r="37" spans="2:12">
      <c r="B37" s="8" t="s">
        <v>223</v>
      </c>
      <c r="C37" s="22">
        <v>154730</v>
      </c>
      <c r="D37" s="22">
        <v>95</v>
      </c>
      <c r="E37" s="22">
        <v>16245</v>
      </c>
      <c r="F37" s="22">
        <v>53520</v>
      </c>
      <c r="G37" s="22">
        <v>45059</v>
      </c>
      <c r="H37" s="22">
        <v>25268</v>
      </c>
      <c r="I37" s="22">
        <v>11391</v>
      </c>
      <c r="J37" s="22">
        <v>2888</v>
      </c>
      <c r="K37" s="22">
        <v>173</v>
      </c>
      <c r="L37" s="22">
        <v>91</v>
      </c>
    </row>
    <row r="38" spans="2:12">
      <c r="B38" s="8" t="s">
        <v>224</v>
      </c>
      <c r="C38" s="22">
        <v>157178</v>
      </c>
      <c r="D38" s="22">
        <v>117</v>
      </c>
      <c r="E38" s="22">
        <v>16404</v>
      </c>
      <c r="F38" s="22">
        <v>53608</v>
      </c>
      <c r="G38" s="22">
        <v>46363</v>
      </c>
      <c r="H38" s="22">
        <v>25971</v>
      </c>
      <c r="I38" s="22">
        <v>11565</v>
      </c>
      <c r="J38" s="22">
        <v>2906</v>
      </c>
      <c r="K38" s="22">
        <v>181</v>
      </c>
      <c r="L38" s="22">
        <v>63</v>
      </c>
    </row>
    <row r="39" spans="2:12">
      <c r="B39" s="11"/>
      <c r="C39" s="22"/>
      <c r="D39" s="22"/>
      <c r="E39" s="22"/>
      <c r="F39" s="22"/>
      <c r="G39" s="22"/>
      <c r="H39" s="22"/>
      <c r="I39" s="22"/>
      <c r="J39" s="22"/>
      <c r="K39" s="22"/>
      <c r="L39" s="22"/>
    </row>
    <row r="40" spans="2:12">
      <c r="B40" s="8" t="s">
        <v>163</v>
      </c>
      <c r="C40" s="22">
        <v>160955</v>
      </c>
      <c r="D40" s="22">
        <v>111</v>
      </c>
      <c r="E40" s="22">
        <v>16310</v>
      </c>
      <c r="F40" s="22">
        <v>53442</v>
      </c>
      <c r="G40" s="22">
        <v>48186</v>
      </c>
      <c r="H40" s="22">
        <v>27422</v>
      </c>
      <c r="I40" s="22">
        <v>12392</v>
      </c>
      <c r="J40" s="22">
        <v>2831</v>
      </c>
      <c r="K40" s="22">
        <v>169</v>
      </c>
      <c r="L40" s="22">
        <v>92</v>
      </c>
    </row>
    <row r="41" spans="2:12">
      <c r="B41" s="8" t="s">
        <v>225</v>
      </c>
      <c r="C41" s="22">
        <v>173506</v>
      </c>
      <c r="D41" s="22">
        <v>104</v>
      </c>
      <c r="E41" s="22">
        <v>17974</v>
      </c>
      <c r="F41" s="22">
        <v>57340</v>
      </c>
      <c r="G41" s="22">
        <v>52044</v>
      </c>
      <c r="H41" s="22">
        <v>29674</v>
      </c>
      <c r="I41" s="22">
        <v>13086</v>
      </c>
      <c r="J41" s="22">
        <v>3040</v>
      </c>
      <c r="K41" s="22">
        <v>160</v>
      </c>
      <c r="L41" s="22">
        <v>84</v>
      </c>
    </row>
    <row r="42" spans="2:12">
      <c r="B42" s="8" t="s">
        <v>226</v>
      </c>
      <c r="C42" s="22">
        <v>178634</v>
      </c>
      <c r="D42" s="22">
        <v>134</v>
      </c>
      <c r="E42" s="22">
        <v>17206</v>
      </c>
      <c r="F42" s="22">
        <v>58012</v>
      </c>
      <c r="G42" s="22">
        <v>54198</v>
      </c>
      <c r="H42" s="22">
        <v>31756</v>
      </c>
      <c r="I42" s="22">
        <v>13880</v>
      </c>
      <c r="J42" s="22">
        <v>3176</v>
      </c>
      <c r="K42" s="22">
        <v>220</v>
      </c>
      <c r="L42" s="22">
        <v>52</v>
      </c>
    </row>
    <row r="43" spans="2:12">
      <c r="B43" s="8" t="s">
        <v>227</v>
      </c>
      <c r="C43" s="22">
        <v>182810</v>
      </c>
      <c r="D43" s="22">
        <v>166</v>
      </c>
      <c r="E43" s="22">
        <v>18510</v>
      </c>
      <c r="F43" s="22">
        <v>58070</v>
      </c>
      <c r="G43" s="22">
        <v>54734</v>
      </c>
      <c r="H43" s="22">
        <v>32948</v>
      </c>
      <c r="I43" s="22">
        <v>14798</v>
      </c>
      <c r="J43" s="22">
        <v>3350</v>
      </c>
      <c r="K43" s="22">
        <v>190</v>
      </c>
      <c r="L43" s="22">
        <v>44</v>
      </c>
    </row>
    <row r="44" spans="2:12">
      <c r="B44" s="8" t="s">
        <v>228</v>
      </c>
      <c r="C44" s="22">
        <v>192332</v>
      </c>
      <c r="D44" s="22">
        <v>208</v>
      </c>
      <c r="E44" s="22">
        <v>20522</v>
      </c>
      <c r="F44" s="22">
        <v>60776</v>
      </c>
      <c r="G44" s="22">
        <v>55962</v>
      </c>
      <c r="H44" s="22">
        <v>35152</v>
      </c>
      <c r="I44" s="22">
        <v>15862</v>
      </c>
      <c r="J44" s="22">
        <v>3598</v>
      </c>
      <c r="K44" s="22">
        <v>220</v>
      </c>
      <c r="L44" s="22">
        <v>32</v>
      </c>
    </row>
    <row r="45" spans="2:12">
      <c r="B45" s="8" t="s">
        <v>229</v>
      </c>
      <c r="C45" s="22">
        <v>196623</v>
      </c>
      <c r="D45" s="22">
        <v>195</v>
      </c>
      <c r="E45" s="22">
        <v>21417</v>
      </c>
      <c r="F45" s="22">
        <v>61952</v>
      </c>
      <c r="G45" s="22">
        <v>56462</v>
      </c>
      <c r="H45" s="22">
        <v>35968</v>
      </c>
      <c r="I45" s="22">
        <v>16554</v>
      </c>
      <c r="J45" s="22">
        <v>3862</v>
      </c>
      <c r="K45" s="22">
        <v>198</v>
      </c>
      <c r="L45" s="22">
        <v>15</v>
      </c>
    </row>
    <row r="46" spans="2:12">
      <c r="B46" s="8" t="s">
        <v>230</v>
      </c>
      <c r="C46" s="22">
        <v>206226</v>
      </c>
      <c r="D46" s="22">
        <v>192</v>
      </c>
      <c r="E46" s="22">
        <v>22808</v>
      </c>
      <c r="F46" s="22">
        <v>66332</v>
      </c>
      <c r="G46" s="22">
        <v>58392</v>
      </c>
      <c r="H46" s="22">
        <v>36870</v>
      </c>
      <c r="I46" s="22">
        <v>17282</v>
      </c>
      <c r="J46" s="22">
        <v>4172</v>
      </c>
      <c r="K46" s="22">
        <v>164</v>
      </c>
      <c r="L46" s="22">
        <v>14</v>
      </c>
    </row>
    <row r="47" spans="2:12">
      <c r="B47" s="8" t="s">
        <v>231</v>
      </c>
      <c r="C47" s="22">
        <v>208808</v>
      </c>
      <c r="D47" s="22">
        <v>190</v>
      </c>
      <c r="E47" s="22">
        <v>23798</v>
      </c>
      <c r="F47" s="22">
        <v>67086</v>
      </c>
      <c r="G47" s="22">
        <v>58424</v>
      </c>
      <c r="H47" s="22">
        <v>36980</v>
      </c>
      <c r="I47" s="22">
        <v>17956</v>
      </c>
      <c r="J47" s="22">
        <v>4160</v>
      </c>
      <c r="K47" s="22">
        <v>200</v>
      </c>
      <c r="L47" s="22">
        <v>14</v>
      </c>
    </row>
    <row r="48" spans="2:12">
      <c r="B48" s="8" t="s">
        <v>232</v>
      </c>
      <c r="C48" s="22">
        <v>202900</v>
      </c>
      <c r="D48" s="22">
        <v>222</v>
      </c>
      <c r="E48" s="22">
        <v>23034</v>
      </c>
      <c r="F48" s="22">
        <v>65834</v>
      </c>
      <c r="G48" s="22">
        <v>55130</v>
      </c>
      <c r="H48" s="22">
        <v>36278</v>
      </c>
      <c r="I48" s="22">
        <v>17892</v>
      </c>
      <c r="J48" s="22">
        <v>4296</v>
      </c>
      <c r="K48" s="22">
        <v>196</v>
      </c>
      <c r="L48" s="22">
        <v>18</v>
      </c>
    </row>
    <row r="49" spans="2:12">
      <c r="B49" s="8" t="s">
        <v>233</v>
      </c>
      <c r="C49" s="22">
        <v>198576</v>
      </c>
      <c r="D49" s="22">
        <v>200</v>
      </c>
      <c r="E49" s="22">
        <v>21922</v>
      </c>
      <c r="F49" s="22">
        <v>65426</v>
      </c>
      <c r="G49" s="22">
        <v>53434</v>
      </c>
      <c r="H49" s="22">
        <v>34934</v>
      </c>
      <c r="I49" s="22">
        <v>18030</v>
      </c>
      <c r="J49" s="22">
        <v>4424</v>
      </c>
      <c r="K49" s="22">
        <v>198</v>
      </c>
      <c r="L49" s="22">
        <v>8</v>
      </c>
    </row>
    <row r="50" spans="2:12">
      <c r="B50" s="8"/>
      <c r="C50" s="22"/>
      <c r="D50" s="22"/>
      <c r="E50" s="22"/>
      <c r="F50" s="22"/>
      <c r="G50" s="22"/>
      <c r="H50" s="22"/>
      <c r="I50" s="22"/>
      <c r="J50" s="22"/>
      <c r="K50" s="22"/>
      <c r="L50" s="22"/>
    </row>
    <row r="51" spans="2:12">
      <c r="B51" s="8" t="s">
        <v>164</v>
      </c>
      <c r="C51" s="22">
        <v>195056</v>
      </c>
      <c r="D51" s="22">
        <v>186</v>
      </c>
      <c r="E51" s="22">
        <v>22786</v>
      </c>
      <c r="F51" s="22">
        <v>65108</v>
      </c>
      <c r="G51" s="22">
        <v>51842</v>
      </c>
      <c r="H51" s="22">
        <v>33228</v>
      </c>
      <c r="I51" s="22">
        <v>17410</v>
      </c>
      <c r="J51" s="22">
        <v>4288</v>
      </c>
      <c r="K51" s="22">
        <v>202</v>
      </c>
      <c r="L51" s="22">
        <v>6</v>
      </c>
    </row>
    <row r="52" spans="2:12">
      <c r="B52" s="8" t="s">
        <v>234</v>
      </c>
      <c r="C52" s="22">
        <v>192825</v>
      </c>
      <c r="D52" s="22">
        <v>212</v>
      </c>
      <c r="E52" s="22">
        <v>23891</v>
      </c>
      <c r="F52" s="22">
        <v>64336</v>
      </c>
      <c r="G52" s="22">
        <v>50277</v>
      </c>
      <c r="H52" s="22">
        <v>32456</v>
      </c>
      <c r="I52" s="22">
        <v>17067</v>
      </c>
      <c r="J52" s="22">
        <v>4363</v>
      </c>
      <c r="K52" s="22">
        <v>203</v>
      </c>
      <c r="L52" s="22">
        <v>20</v>
      </c>
    </row>
    <row r="53" spans="2:12">
      <c r="B53" s="8" t="s">
        <v>235</v>
      </c>
      <c r="C53" s="22">
        <v>182790</v>
      </c>
      <c r="D53" s="22">
        <v>268</v>
      </c>
      <c r="E53" s="22">
        <v>22702</v>
      </c>
      <c r="F53" s="22">
        <v>62243</v>
      </c>
      <c r="G53" s="22">
        <v>47109</v>
      </c>
      <c r="H53" s="22">
        <v>29817</v>
      </c>
      <c r="I53" s="22">
        <v>16160</v>
      </c>
      <c r="J53" s="22">
        <v>4250</v>
      </c>
      <c r="K53" s="22">
        <v>224</v>
      </c>
      <c r="L53" s="22">
        <v>17</v>
      </c>
    </row>
    <row r="54" spans="2:12">
      <c r="B54" s="8" t="s">
        <v>236</v>
      </c>
      <c r="C54" s="22">
        <v>178871</v>
      </c>
      <c r="D54" s="22">
        <v>210</v>
      </c>
      <c r="E54" s="22">
        <v>21686</v>
      </c>
      <c r="F54" s="22">
        <v>62834</v>
      </c>
      <c r="G54" s="22">
        <v>46063</v>
      </c>
      <c r="H54" s="22">
        <v>28364</v>
      </c>
      <c r="I54" s="22">
        <v>15117</v>
      </c>
      <c r="J54" s="22">
        <v>4359</v>
      </c>
      <c r="K54" s="22">
        <v>229</v>
      </c>
      <c r="L54" s="22">
        <v>9</v>
      </c>
    </row>
    <row r="55" spans="2:12">
      <c r="B55" s="8" t="s">
        <v>237</v>
      </c>
      <c r="C55" s="22">
        <v>175103</v>
      </c>
      <c r="D55" s="22">
        <v>264</v>
      </c>
      <c r="E55" s="22">
        <v>22526</v>
      </c>
      <c r="F55" s="22">
        <v>62196</v>
      </c>
      <c r="G55" s="22">
        <v>44671</v>
      </c>
      <c r="H55" s="22">
        <v>26542</v>
      </c>
      <c r="I55" s="22">
        <v>14509</v>
      </c>
      <c r="J55" s="22">
        <v>4162</v>
      </c>
      <c r="K55" s="22">
        <v>220</v>
      </c>
      <c r="L55" s="22">
        <v>13</v>
      </c>
    </row>
    <row r="56" spans="2:12">
      <c r="B56" s="8" t="s">
        <v>238</v>
      </c>
      <c r="C56" s="22">
        <v>166464</v>
      </c>
      <c r="D56" s="22">
        <v>267</v>
      </c>
      <c r="E56" s="22">
        <v>24653</v>
      </c>
      <c r="F56" s="22">
        <v>59439</v>
      </c>
      <c r="G56" s="22">
        <v>40693</v>
      </c>
      <c r="H56" s="22">
        <v>23767</v>
      </c>
      <c r="I56" s="22">
        <v>13528</v>
      </c>
      <c r="J56" s="22">
        <v>3886</v>
      </c>
      <c r="K56" s="22">
        <v>211</v>
      </c>
      <c r="L56" s="22">
        <v>20</v>
      </c>
    </row>
    <row r="57" spans="2:12">
      <c r="B57" s="8" t="s">
        <v>239</v>
      </c>
      <c r="C57" s="22">
        <v>165794</v>
      </c>
      <c r="D57" s="22">
        <v>310</v>
      </c>
      <c r="E57" s="22">
        <v>28690</v>
      </c>
      <c r="F57" s="22">
        <v>60711</v>
      </c>
      <c r="G57" s="22">
        <v>39225</v>
      </c>
      <c r="H57" s="22">
        <v>21205</v>
      </c>
      <c r="I57" s="22">
        <v>11846</v>
      </c>
      <c r="J57" s="22">
        <v>3547</v>
      </c>
      <c r="K57" s="22">
        <v>223</v>
      </c>
      <c r="L57" s="22">
        <v>37</v>
      </c>
    </row>
    <row r="58" spans="2:12">
      <c r="B58" s="8" t="s">
        <v>240</v>
      </c>
      <c r="C58" s="22">
        <v>162756</v>
      </c>
      <c r="D58" s="22">
        <v>316</v>
      </c>
      <c r="E58" s="22">
        <v>27267</v>
      </c>
      <c r="F58" s="22">
        <v>61541</v>
      </c>
      <c r="G58" s="22">
        <v>40052</v>
      </c>
      <c r="H58" s="22">
        <v>19840</v>
      </c>
      <c r="I58" s="22">
        <v>10479</v>
      </c>
      <c r="J58" s="22">
        <v>3059</v>
      </c>
      <c r="K58" s="22">
        <v>178</v>
      </c>
      <c r="L58" s="22">
        <v>24</v>
      </c>
    </row>
    <row r="59" spans="2:12">
      <c r="B59" s="8" t="s">
        <v>241</v>
      </c>
      <c r="C59" s="22">
        <v>159058</v>
      </c>
      <c r="D59" s="22">
        <v>400</v>
      </c>
      <c r="E59" s="22">
        <v>26390</v>
      </c>
      <c r="F59" s="22">
        <v>60072</v>
      </c>
      <c r="G59" s="22">
        <v>41561</v>
      </c>
      <c r="H59" s="22">
        <v>18613</v>
      </c>
      <c r="I59" s="22">
        <v>9095</v>
      </c>
      <c r="J59" s="22">
        <v>2739</v>
      </c>
      <c r="K59" s="22">
        <v>163</v>
      </c>
      <c r="L59" s="22">
        <v>25</v>
      </c>
    </row>
    <row r="60" spans="2:12">
      <c r="B60" s="8" t="s">
        <v>242</v>
      </c>
      <c r="C60" s="22">
        <v>165760</v>
      </c>
      <c r="D60" s="22">
        <v>421</v>
      </c>
      <c r="E60" s="22">
        <v>28061</v>
      </c>
      <c r="F60" s="22">
        <v>63376</v>
      </c>
      <c r="G60" s="22">
        <v>44615</v>
      </c>
      <c r="H60" s="22">
        <v>18535</v>
      </c>
      <c r="I60" s="22">
        <v>8157</v>
      </c>
      <c r="J60" s="22">
        <v>2433</v>
      </c>
      <c r="K60" s="22">
        <v>134</v>
      </c>
      <c r="L60" s="22">
        <v>28</v>
      </c>
    </row>
    <row r="61" spans="2:12">
      <c r="B61" s="8"/>
      <c r="C61" s="22"/>
      <c r="D61" s="22"/>
      <c r="E61" s="22"/>
      <c r="F61" s="22"/>
      <c r="G61" s="22"/>
      <c r="H61" s="22"/>
      <c r="I61" s="22"/>
      <c r="J61" s="22"/>
      <c r="K61" s="22"/>
      <c r="L61" s="22"/>
    </row>
    <row r="62" spans="2:12">
      <c r="B62" s="8" t="s">
        <v>165</v>
      </c>
      <c r="C62" s="22">
        <v>171667</v>
      </c>
      <c r="D62" s="22">
        <v>489</v>
      </c>
      <c r="E62" s="22">
        <v>29764</v>
      </c>
      <c r="F62" s="22">
        <v>65892</v>
      </c>
      <c r="G62" s="22">
        <v>46262</v>
      </c>
      <c r="H62" s="22">
        <v>19003</v>
      </c>
      <c r="I62" s="22">
        <v>7904</v>
      </c>
      <c r="J62" s="22">
        <v>2223</v>
      </c>
      <c r="K62" s="22">
        <v>118</v>
      </c>
      <c r="L62" s="22">
        <v>12</v>
      </c>
    </row>
    <row r="63" spans="2:12">
      <c r="B63" s="8" t="s">
        <v>243</v>
      </c>
      <c r="C63" s="22">
        <v>162244</v>
      </c>
      <c r="D63" s="22">
        <v>472</v>
      </c>
      <c r="E63" s="22">
        <v>28480</v>
      </c>
      <c r="F63" s="22">
        <v>62367</v>
      </c>
      <c r="G63" s="22">
        <v>43639</v>
      </c>
      <c r="H63" s="22">
        <v>18259</v>
      </c>
      <c r="I63" s="22">
        <v>6975</v>
      </c>
      <c r="J63" s="22">
        <v>1926</v>
      </c>
      <c r="K63" s="22">
        <v>112</v>
      </c>
      <c r="L63" s="22">
        <v>14</v>
      </c>
    </row>
    <row r="64" spans="2:12">
      <c r="B64" s="8" t="s">
        <v>244</v>
      </c>
      <c r="C64" s="22">
        <v>146854</v>
      </c>
      <c r="D64" s="22">
        <v>503</v>
      </c>
      <c r="E64" s="22">
        <v>28108</v>
      </c>
      <c r="F64" s="22">
        <v>54199</v>
      </c>
      <c r="G64" s="22">
        <v>40442</v>
      </c>
      <c r="H64" s="22">
        <v>16133</v>
      </c>
      <c r="I64" s="22">
        <v>5805</v>
      </c>
      <c r="J64" s="22">
        <v>1555</v>
      </c>
      <c r="K64" s="22">
        <v>95</v>
      </c>
      <c r="L64" s="22">
        <v>14</v>
      </c>
    </row>
    <row r="65" spans="2:12">
      <c r="B65" s="8" t="s">
        <v>245</v>
      </c>
      <c r="C65" s="22">
        <v>141550</v>
      </c>
      <c r="D65" s="22">
        <v>569</v>
      </c>
      <c r="E65" s="22">
        <v>27808</v>
      </c>
      <c r="F65" s="22">
        <v>51284</v>
      </c>
      <c r="G65" s="22">
        <v>39845</v>
      </c>
      <c r="H65" s="22">
        <v>15520</v>
      </c>
      <c r="I65" s="22">
        <v>5163</v>
      </c>
      <c r="J65" s="22">
        <v>1277</v>
      </c>
      <c r="K65" s="22">
        <v>62</v>
      </c>
      <c r="L65" s="22">
        <v>22</v>
      </c>
    </row>
    <row r="66" spans="2:12">
      <c r="B66" s="8" t="s">
        <v>246</v>
      </c>
      <c r="C66" s="22">
        <v>137414</v>
      </c>
      <c r="D66" s="22">
        <v>501</v>
      </c>
      <c r="E66" s="22">
        <v>25977</v>
      </c>
      <c r="F66" s="22">
        <v>49975</v>
      </c>
      <c r="G66" s="22">
        <v>40215</v>
      </c>
      <c r="H66" s="22">
        <v>15317</v>
      </c>
      <c r="I66" s="22">
        <v>4291</v>
      </c>
      <c r="J66" s="22">
        <v>1063</v>
      </c>
      <c r="K66" s="22">
        <v>50</v>
      </c>
      <c r="L66" s="22">
        <v>25</v>
      </c>
    </row>
    <row r="67" spans="2:12">
      <c r="B67" s="8" t="s">
        <v>247</v>
      </c>
      <c r="C67" s="22">
        <v>133931</v>
      </c>
      <c r="D67" s="22">
        <v>463</v>
      </c>
      <c r="E67" s="22">
        <v>24509</v>
      </c>
      <c r="F67" s="22">
        <v>48675</v>
      </c>
      <c r="G67" s="22">
        <v>40061</v>
      </c>
      <c r="H67" s="22">
        <v>14891</v>
      </c>
      <c r="I67" s="22">
        <v>4273</v>
      </c>
      <c r="J67" s="22">
        <v>982</v>
      </c>
      <c r="K67" s="22">
        <v>54</v>
      </c>
      <c r="L67" s="22">
        <v>23</v>
      </c>
    </row>
    <row r="68" spans="2:12">
      <c r="B68" s="8" t="s">
        <v>248</v>
      </c>
      <c r="C68" s="22">
        <v>131378</v>
      </c>
      <c r="D68" s="22">
        <v>404</v>
      </c>
      <c r="E68" s="22">
        <v>22593</v>
      </c>
      <c r="F68" s="22">
        <v>47161</v>
      </c>
      <c r="G68" s="22">
        <v>41412</v>
      </c>
      <c r="H68" s="22">
        <v>14893</v>
      </c>
      <c r="I68" s="22">
        <v>4053</v>
      </c>
      <c r="J68" s="22">
        <v>799</v>
      </c>
      <c r="K68" s="22">
        <v>47</v>
      </c>
      <c r="L68" s="22">
        <v>16</v>
      </c>
    </row>
    <row r="69" spans="2:12">
      <c r="B69" s="8" t="s">
        <v>249</v>
      </c>
      <c r="C69" s="22">
        <v>138416</v>
      </c>
      <c r="D69" s="22">
        <v>426</v>
      </c>
      <c r="E69" s="22">
        <v>22585</v>
      </c>
      <c r="F69" s="22">
        <v>49740</v>
      </c>
      <c r="G69" s="22">
        <v>43346</v>
      </c>
      <c r="H69" s="22">
        <v>17293</v>
      </c>
      <c r="I69" s="22">
        <v>4178</v>
      </c>
      <c r="J69" s="22">
        <v>771</v>
      </c>
      <c r="K69" s="22">
        <v>51</v>
      </c>
      <c r="L69" s="22">
        <v>26</v>
      </c>
    </row>
    <row r="70" spans="2:12">
      <c r="B70" s="8" t="s">
        <v>250</v>
      </c>
      <c r="C70" s="22">
        <v>138802</v>
      </c>
      <c r="D70" s="22">
        <v>345</v>
      </c>
      <c r="E70" s="22">
        <v>21487</v>
      </c>
      <c r="F70" s="22">
        <v>49498</v>
      </c>
      <c r="G70" s="22">
        <v>43744</v>
      </c>
      <c r="H70" s="22">
        <v>18367</v>
      </c>
      <c r="I70" s="22">
        <v>4562</v>
      </c>
      <c r="J70" s="22">
        <v>729</v>
      </c>
      <c r="K70" s="22">
        <v>50</v>
      </c>
      <c r="L70" s="22">
        <v>20</v>
      </c>
    </row>
    <row r="71" spans="2:12">
      <c r="B71" s="8" t="s">
        <v>251</v>
      </c>
      <c r="C71" s="22">
        <v>144452</v>
      </c>
      <c r="D71" s="22">
        <v>355</v>
      </c>
      <c r="E71" s="22">
        <v>21239</v>
      </c>
      <c r="F71" s="22">
        <v>51319</v>
      </c>
      <c r="G71" s="22">
        <v>46084</v>
      </c>
      <c r="H71" s="22">
        <v>19962</v>
      </c>
      <c r="I71" s="22">
        <v>4720</v>
      </c>
      <c r="J71" s="22">
        <v>715</v>
      </c>
      <c r="K71" s="22">
        <v>41</v>
      </c>
      <c r="L71" s="22">
        <v>17</v>
      </c>
    </row>
    <row r="72" spans="2:12">
      <c r="B72" s="11"/>
      <c r="C72" s="24"/>
      <c r="D72" s="22"/>
      <c r="E72" s="22"/>
      <c r="F72" s="22"/>
      <c r="G72" s="22"/>
      <c r="H72" s="22"/>
      <c r="I72" s="22"/>
      <c r="J72" s="22"/>
      <c r="K72" s="22"/>
      <c r="L72" s="22"/>
    </row>
    <row r="73" spans="2:12">
      <c r="B73" s="8" t="s">
        <v>166</v>
      </c>
      <c r="C73" s="22">
        <v>145162</v>
      </c>
      <c r="D73" s="22">
        <v>331</v>
      </c>
      <c r="E73" s="22">
        <v>20000</v>
      </c>
      <c r="F73" s="22">
        <v>51218</v>
      </c>
      <c r="G73" s="22">
        <v>47113</v>
      </c>
      <c r="H73" s="22">
        <v>21024</v>
      </c>
      <c r="I73" s="22">
        <v>4692</v>
      </c>
      <c r="J73" s="22">
        <v>740</v>
      </c>
      <c r="K73" s="22">
        <v>22</v>
      </c>
      <c r="L73" s="22">
        <v>22</v>
      </c>
    </row>
    <row r="74" spans="2:12">
      <c r="B74" s="8" t="s">
        <v>252</v>
      </c>
      <c r="C74" s="22">
        <v>140579</v>
      </c>
      <c r="D74" s="22">
        <v>300</v>
      </c>
      <c r="E74" s="22">
        <v>18397</v>
      </c>
      <c r="F74" s="22">
        <v>47737</v>
      </c>
      <c r="G74" s="22">
        <v>46527</v>
      </c>
      <c r="H74" s="22">
        <v>22178</v>
      </c>
      <c r="I74" s="22">
        <v>4701</v>
      </c>
      <c r="J74" s="22">
        <v>695</v>
      </c>
      <c r="K74" s="22">
        <v>34</v>
      </c>
      <c r="L74" s="22">
        <v>10</v>
      </c>
    </row>
    <row r="75" spans="2:12">
      <c r="B75" s="8" t="s">
        <v>253</v>
      </c>
      <c r="C75" s="22">
        <v>137950</v>
      </c>
      <c r="D75" s="22">
        <v>319</v>
      </c>
      <c r="E75" s="22">
        <v>17344</v>
      </c>
      <c r="F75" s="22">
        <v>45586</v>
      </c>
      <c r="G75" s="22">
        <v>45995</v>
      </c>
      <c r="H75" s="22">
        <v>22564</v>
      </c>
      <c r="I75" s="22">
        <v>5395</v>
      </c>
      <c r="J75" s="22">
        <v>711</v>
      </c>
      <c r="K75" s="22">
        <v>29</v>
      </c>
      <c r="L75" s="22">
        <v>7</v>
      </c>
    </row>
    <row r="76" spans="2:12">
      <c r="B76" s="8" t="s">
        <v>254</v>
      </c>
      <c r="C76" s="22">
        <v>133026</v>
      </c>
      <c r="D76" s="22">
        <v>328</v>
      </c>
      <c r="E76" s="22">
        <v>16589</v>
      </c>
      <c r="F76" s="22">
        <v>42034</v>
      </c>
      <c r="G76" s="22">
        <v>45065</v>
      </c>
      <c r="H76" s="22">
        <v>22505</v>
      </c>
      <c r="I76" s="22">
        <v>5669</v>
      </c>
      <c r="J76" s="22">
        <v>791</v>
      </c>
      <c r="K76" s="22">
        <v>38</v>
      </c>
      <c r="L76" s="22">
        <v>7</v>
      </c>
    </row>
    <row r="77" spans="2:12">
      <c r="B77" s="8" t="s">
        <v>255</v>
      </c>
      <c r="C77" s="22">
        <v>135782</v>
      </c>
      <c r="D77" s="22">
        <v>341</v>
      </c>
      <c r="E77" s="22">
        <v>16442</v>
      </c>
      <c r="F77" s="22">
        <v>41664</v>
      </c>
      <c r="G77" s="22">
        <v>45908</v>
      </c>
      <c r="H77" s="22">
        <v>24320</v>
      </c>
      <c r="I77" s="22">
        <v>6295</v>
      </c>
      <c r="J77" s="22">
        <v>780</v>
      </c>
      <c r="K77" s="22">
        <v>30</v>
      </c>
      <c r="L77" s="22">
        <v>2</v>
      </c>
    </row>
    <row r="78" spans="2:12">
      <c r="B78" s="8" t="s">
        <v>256</v>
      </c>
      <c r="C78" s="22">
        <v>138052</v>
      </c>
      <c r="D78" s="22">
        <v>352</v>
      </c>
      <c r="E78" s="22">
        <v>16279</v>
      </c>
      <c r="F78" s="22">
        <v>41125</v>
      </c>
      <c r="G78" s="22">
        <v>47049</v>
      </c>
      <c r="H78" s="22">
        <v>25491</v>
      </c>
      <c r="I78" s="22">
        <v>6864</v>
      </c>
      <c r="J78" s="22">
        <v>851</v>
      </c>
      <c r="K78" s="22">
        <v>36</v>
      </c>
      <c r="L78" s="22">
        <v>5</v>
      </c>
    </row>
    <row r="79" spans="2:12">
      <c r="B79" s="8" t="s">
        <v>257</v>
      </c>
      <c r="C79" s="22">
        <v>137626</v>
      </c>
      <c r="D79" s="22">
        <v>335</v>
      </c>
      <c r="E79" s="22">
        <v>16536</v>
      </c>
      <c r="F79" s="22">
        <v>39611</v>
      </c>
      <c r="G79" s="22">
        <v>46421</v>
      </c>
      <c r="H79" s="22">
        <v>26331</v>
      </c>
      <c r="I79" s="22">
        <v>7503</v>
      </c>
      <c r="J79" s="22">
        <v>842</v>
      </c>
      <c r="K79" s="22">
        <v>35</v>
      </c>
      <c r="L79" s="22">
        <v>12</v>
      </c>
    </row>
    <row r="80" spans="2:12">
      <c r="B80" s="8" t="s">
        <v>258</v>
      </c>
      <c r="C80" s="22">
        <v>140466</v>
      </c>
      <c r="D80" s="22">
        <v>329</v>
      </c>
      <c r="E80" s="22">
        <v>16911</v>
      </c>
      <c r="F80" s="22">
        <v>39314</v>
      </c>
      <c r="G80" s="22">
        <v>47052</v>
      </c>
      <c r="H80" s="22">
        <v>27795</v>
      </c>
      <c r="I80" s="22">
        <v>8038</v>
      </c>
      <c r="J80" s="22">
        <v>969</v>
      </c>
      <c r="K80" s="22">
        <v>46</v>
      </c>
      <c r="L80" s="22">
        <v>12</v>
      </c>
    </row>
    <row r="81" spans="2:12">
      <c r="B81" s="8" t="s">
        <v>259</v>
      </c>
      <c r="C81" s="22">
        <v>139635</v>
      </c>
      <c r="D81" s="22">
        <v>371</v>
      </c>
      <c r="E81" s="22">
        <v>17003</v>
      </c>
      <c r="F81" s="22">
        <v>37529</v>
      </c>
      <c r="G81" s="22">
        <v>45924</v>
      </c>
      <c r="H81" s="22">
        <v>28469</v>
      </c>
      <c r="I81" s="22">
        <v>8553</v>
      </c>
      <c r="J81" s="22">
        <v>1094</v>
      </c>
      <c r="K81" s="22">
        <v>54</v>
      </c>
      <c r="L81" s="22">
        <v>638</v>
      </c>
    </row>
    <row r="82" spans="2:12">
      <c r="B82" s="8" t="s">
        <v>260</v>
      </c>
      <c r="C82" s="22">
        <v>148164</v>
      </c>
      <c r="D82" s="22">
        <v>396</v>
      </c>
      <c r="E82" s="22">
        <v>19149</v>
      </c>
      <c r="F82" s="22">
        <v>39352</v>
      </c>
      <c r="G82" s="22">
        <v>47853</v>
      </c>
      <c r="H82" s="22">
        <v>30462</v>
      </c>
      <c r="I82" s="22">
        <v>9571</v>
      </c>
      <c r="J82" s="22">
        <v>1207</v>
      </c>
      <c r="K82" s="22">
        <v>58</v>
      </c>
      <c r="L82" s="22">
        <v>116</v>
      </c>
    </row>
    <row r="83" spans="2:12">
      <c r="B83" s="11"/>
      <c r="C83" s="24"/>
      <c r="D83" s="22"/>
      <c r="E83" s="22"/>
      <c r="F83" s="22"/>
      <c r="G83" s="22"/>
      <c r="H83" s="22"/>
      <c r="I83" s="22"/>
      <c r="J83" s="22"/>
      <c r="K83" s="22"/>
      <c r="L83" s="22"/>
    </row>
    <row r="84" spans="2:12">
      <c r="B84" s="8" t="s">
        <v>167</v>
      </c>
      <c r="C84" s="22">
        <v>153080</v>
      </c>
      <c r="D84" s="22">
        <v>426</v>
      </c>
      <c r="E84" s="22">
        <v>20224</v>
      </c>
      <c r="F84" s="22">
        <v>39993</v>
      </c>
      <c r="G84" s="22">
        <v>48466</v>
      </c>
      <c r="H84" s="22">
        <v>32058</v>
      </c>
      <c r="I84" s="22">
        <v>10421</v>
      </c>
      <c r="J84" s="22">
        <v>1382</v>
      </c>
      <c r="K84" s="22">
        <v>40</v>
      </c>
      <c r="L84" s="22">
        <v>70</v>
      </c>
    </row>
    <row r="85" spans="2:12">
      <c r="B85" s="8" t="s">
        <v>168</v>
      </c>
      <c r="C85" s="22">
        <v>149478</v>
      </c>
      <c r="D85" s="22">
        <v>414</v>
      </c>
      <c r="E85" s="22">
        <v>19325</v>
      </c>
      <c r="F85" s="22">
        <v>39546</v>
      </c>
      <c r="G85" s="22">
        <v>45995</v>
      </c>
      <c r="H85" s="22">
        <v>32025</v>
      </c>
      <c r="I85" s="22">
        <v>10627</v>
      </c>
      <c r="J85" s="22">
        <v>1464</v>
      </c>
      <c r="K85" s="22">
        <v>36</v>
      </c>
      <c r="L85" s="22">
        <v>46</v>
      </c>
    </row>
    <row r="86" spans="2:12">
      <c r="B86" s="8" t="s">
        <v>169</v>
      </c>
      <c r="C86" s="22">
        <v>143827</v>
      </c>
      <c r="D86" s="22">
        <v>373</v>
      </c>
      <c r="E86" s="22">
        <v>18341</v>
      </c>
      <c r="F86" s="22">
        <v>37446</v>
      </c>
      <c r="G86" s="22">
        <v>43246</v>
      </c>
      <c r="H86" s="22">
        <v>31496</v>
      </c>
      <c r="I86" s="22">
        <v>11199</v>
      </c>
      <c r="J86" s="22">
        <v>1604</v>
      </c>
      <c r="K86" s="22">
        <v>60</v>
      </c>
      <c r="L86" s="22">
        <v>62</v>
      </c>
    </row>
    <row r="87" spans="2:12">
      <c r="B87" s="8" t="s">
        <v>170</v>
      </c>
      <c r="C87" s="22">
        <v>139560</v>
      </c>
      <c r="D87" s="22">
        <v>371</v>
      </c>
      <c r="E87" s="22">
        <v>17198</v>
      </c>
      <c r="F87" s="22">
        <v>35732</v>
      </c>
      <c r="G87" s="22">
        <v>40975</v>
      </c>
      <c r="H87" s="22">
        <v>31833</v>
      </c>
      <c r="I87" s="22">
        <v>11682</v>
      </c>
      <c r="J87" s="22">
        <v>1636</v>
      </c>
      <c r="K87" s="22">
        <v>71</v>
      </c>
      <c r="L87" s="22">
        <v>62</v>
      </c>
    </row>
    <row r="88" spans="2:12">
      <c r="B88" s="8">
        <v>1994</v>
      </c>
      <c r="C88" s="22">
        <v>137844</v>
      </c>
      <c r="D88" s="22">
        <v>397</v>
      </c>
      <c r="E88" s="22">
        <v>17051</v>
      </c>
      <c r="F88" s="22">
        <v>34448</v>
      </c>
      <c r="G88" s="22">
        <v>39789</v>
      </c>
      <c r="H88" s="22">
        <v>32148</v>
      </c>
      <c r="I88" s="22">
        <v>12066</v>
      </c>
      <c r="J88" s="22">
        <v>1846</v>
      </c>
      <c r="K88" s="22">
        <v>66</v>
      </c>
      <c r="L88" s="22">
        <v>33</v>
      </c>
    </row>
    <row r="89" spans="2:12" s="14" customFormat="1">
      <c r="B89" s="8">
        <v>1995</v>
      </c>
      <c r="C89" s="22">
        <v>134169</v>
      </c>
      <c r="D89" s="22">
        <v>377</v>
      </c>
      <c r="E89" s="22">
        <v>16444</v>
      </c>
      <c r="F89" s="22">
        <v>32365</v>
      </c>
      <c r="G89" s="22">
        <v>38669</v>
      </c>
      <c r="H89" s="22">
        <v>31721</v>
      </c>
      <c r="I89" s="22">
        <v>12458</v>
      </c>
      <c r="J89" s="22">
        <v>2030</v>
      </c>
      <c r="K89" s="22">
        <v>80</v>
      </c>
      <c r="L89" s="22">
        <v>25</v>
      </c>
    </row>
    <row r="90" spans="2:12">
      <c r="B90" s="8">
        <v>1996</v>
      </c>
      <c r="C90" s="22">
        <v>133231</v>
      </c>
      <c r="D90" s="22">
        <v>330</v>
      </c>
      <c r="E90" s="22">
        <v>15899</v>
      </c>
      <c r="F90" s="22">
        <v>31231</v>
      </c>
      <c r="G90" s="22">
        <v>39286</v>
      </c>
      <c r="H90" s="22">
        <v>31472</v>
      </c>
      <c r="I90" s="22">
        <v>12730</v>
      </c>
      <c r="J90" s="22">
        <v>2168</v>
      </c>
      <c r="K90" s="22">
        <v>88</v>
      </c>
      <c r="L90" s="22">
        <v>27</v>
      </c>
    </row>
    <row r="91" spans="2:12">
      <c r="B91" s="8">
        <v>1997</v>
      </c>
      <c r="C91" s="22">
        <v>133549</v>
      </c>
      <c r="D91" s="22">
        <v>278</v>
      </c>
      <c r="E91" s="22">
        <v>15358</v>
      </c>
      <c r="F91" s="22">
        <v>31164</v>
      </c>
      <c r="G91" s="22">
        <v>39403</v>
      </c>
      <c r="H91" s="22">
        <v>31664</v>
      </c>
      <c r="I91" s="22">
        <v>13327</v>
      </c>
      <c r="J91" s="22">
        <v>2238</v>
      </c>
      <c r="K91" s="22">
        <v>95</v>
      </c>
      <c r="L91" s="22">
        <v>22</v>
      </c>
    </row>
    <row r="92" spans="2:12">
      <c r="B92" s="8">
        <v>1998</v>
      </c>
      <c r="C92" s="22">
        <v>133649</v>
      </c>
      <c r="D92" s="22">
        <v>254</v>
      </c>
      <c r="E92" s="22">
        <v>15263</v>
      </c>
      <c r="F92" s="22">
        <v>31063</v>
      </c>
      <c r="G92" s="22">
        <v>39826</v>
      </c>
      <c r="H92" s="22">
        <v>31379</v>
      </c>
      <c r="I92" s="22">
        <v>13287</v>
      </c>
      <c r="J92" s="22">
        <v>2437</v>
      </c>
      <c r="K92" s="22">
        <v>122</v>
      </c>
      <c r="L92" s="22">
        <v>18</v>
      </c>
    </row>
    <row r="93" spans="2:12">
      <c r="B93" s="8">
        <v>1999</v>
      </c>
      <c r="C93" s="22">
        <v>133429</v>
      </c>
      <c r="D93" s="22">
        <v>270</v>
      </c>
      <c r="E93" s="22">
        <v>14540</v>
      </c>
      <c r="F93" s="22">
        <v>31729</v>
      </c>
      <c r="G93" s="22">
        <v>38851</v>
      </c>
      <c r="H93" s="22">
        <v>31756</v>
      </c>
      <c r="I93" s="22">
        <v>13721</v>
      </c>
      <c r="J93" s="22">
        <v>2430</v>
      </c>
      <c r="K93" s="22">
        <v>120</v>
      </c>
      <c r="L93" s="22">
        <v>12</v>
      </c>
    </row>
    <row r="94" spans="2:12">
      <c r="B94" s="8"/>
      <c r="C94" s="22"/>
      <c r="D94" s="22"/>
      <c r="E94" s="22"/>
      <c r="F94" s="22"/>
      <c r="G94" s="22"/>
      <c r="H94" s="22"/>
      <c r="I94" s="22"/>
      <c r="J94" s="22"/>
      <c r="K94" s="22"/>
      <c r="L94" s="22"/>
    </row>
    <row r="95" spans="2:12">
      <c r="B95" s="8">
        <v>2000</v>
      </c>
      <c r="C95" s="9">
        <v>136048</v>
      </c>
      <c r="D95" s="9">
        <v>221</v>
      </c>
      <c r="E95" s="9">
        <v>14096</v>
      </c>
      <c r="F95" s="9">
        <v>33140</v>
      </c>
      <c r="G95" s="9">
        <v>38849</v>
      </c>
      <c r="H95" s="9">
        <v>32577</v>
      </c>
      <c r="I95" s="9">
        <v>14396</v>
      </c>
      <c r="J95" s="9">
        <v>2602</v>
      </c>
      <c r="K95" s="9">
        <v>144</v>
      </c>
      <c r="L95" s="9">
        <v>23</v>
      </c>
    </row>
    <row r="96" spans="2:12">
      <c r="B96" s="8">
        <v>2001</v>
      </c>
      <c r="C96" s="9">
        <v>133247</v>
      </c>
      <c r="D96" s="9">
        <v>220</v>
      </c>
      <c r="E96" s="9">
        <v>13438</v>
      </c>
      <c r="F96" s="9">
        <v>32278</v>
      </c>
      <c r="G96" s="9">
        <v>37140</v>
      </c>
      <c r="H96" s="9">
        <v>33017</v>
      </c>
      <c r="I96" s="9">
        <v>14279</v>
      </c>
      <c r="J96" s="9">
        <v>2697</v>
      </c>
      <c r="K96" s="9">
        <v>162</v>
      </c>
      <c r="L96" s="9">
        <v>16</v>
      </c>
    </row>
    <row r="97" spans="2:12">
      <c r="B97" s="8">
        <v>2002</v>
      </c>
      <c r="C97" s="9">
        <v>129518</v>
      </c>
      <c r="D97" s="9">
        <v>218</v>
      </c>
      <c r="E97" s="9">
        <v>12234</v>
      </c>
      <c r="F97" s="9">
        <v>31579</v>
      </c>
      <c r="G97" s="9">
        <v>35962</v>
      </c>
      <c r="H97" s="9">
        <v>32819</v>
      </c>
      <c r="I97" s="9">
        <v>13872</v>
      </c>
      <c r="J97" s="9">
        <v>2670</v>
      </c>
      <c r="K97" s="9">
        <v>148</v>
      </c>
      <c r="L97" s="9">
        <v>16</v>
      </c>
    </row>
    <row r="98" spans="2:12">
      <c r="B98" s="8">
        <v>2003</v>
      </c>
      <c r="C98" s="9">
        <v>130850</v>
      </c>
      <c r="D98" s="9">
        <v>176</v>
      </c>
      <c r="E98" s="9">
        <f>503+1166+2225+3520+4788</f>
        <v>12202</v>
      </c>
      <c r="F98" s="9">
        <v>31859</v>
      </c>
      <c r="G98" s="9">
        <v>36648</v>
      </c>
      <c r="H98" s="9">
        <v>32655</v>
      </c>
      <c r="I98" s="9">
        <v>14322</v>
      </c>
      <c r="J98" s="9">
        <v>2835</v>
      </c>
      <c r="K98" s="9">
        <v>142</v>
      </c>
      <c r="L98" s="9">
        <v>11</v>
      </c>
    </row>
    <row r="99" spans="2:12">
      <c r="B99" s="8">
        <v>2004</v>
      </c>
      <c r="C99" s="9">
        <v>129710</v>
      </c>
      <c r="D99" s="9">
        <v>211</v>
      </c>
      <c r="E99" s="9">
        <v>12236</v>
      </c>
      <c r="F99" s="9">
        <v>31291</v>
      </c>
      <c r="G99" s="9">
        <v>36811</v>
      </c>
      <c r="H99" s="9">
        <v>31815</v>
      </c>
      <c r="I99" s="9">
        <v>14221</v>
      </c>
      <c r="J99" s="9">
        <v>2937</v>
      </c>
      <c r="K99" s="9">
        <v>176</v>
      </c>
      <c r="L99" s="9">
        <v>12</v>
      </c>
    </row>
    <row r="100" spans="2:12">
      <c r="B100" s="8">
        <v>2005</v>
      </c>
      <c r="C100" s="9">
        <v>127518</v>
      </c>
      <c r="D100" s="9">
        <v>200</v>
      </c>
      <c r="E100" s="9">
        <v>11794</v>
      </c>
      <c r="F100" s="9">
        <v>31010</v>
      </c>
      <c r="G100" s="9">
        <v>36908</v>
      </c>
      <c r="H100" s="9">
        <v>30412</v>
      </c>
      <c r="I100" s="9">
        <v>14058</v>
      </c>
      <c r="J100" s="9">
        <v>2940</v>
      </c>
      <c r="K100" s="9">
        <v>178</v>
      </c>
      <c r="L100" s="9">
        <v>18</v>
      </c>
    </row>
    <row r="101" spans="2:12">
      <c r="B101" s="8">
        <v>2006</v>
      </c>
      <c r="C101" s="9">
        <v>127537</v>
      </c>
      <c r="D101" s="9">
        <v>171</v>
      </c>
      <c r="E101" s="9">
        <v>12322</v>
      </c>
      <c r="F101" s="9">
        <v>30966</v>
      </c>
      <c r="G101" s="9">
        <v>37289</v>
      </c>
      <c r="H101" s="9">
        <v>29771</v>
      </c>
      <c r="I101" s="9">
        <v>14097</v>
      </c>
      <c r="J101" s="9">
        <v>2741</v>
      </c>
      <c r="K101" s="9">
        <v>163</v>
      </c>
      <c r="L101" s="9">
        <v>17</v>
      </c>
    </row>
    <row r="102" spans="2:12">
      <c r="B102" s="8">
        <v>2007</v>
      </c>
      <c r="C102" s="9">
        <v>125172</v>
      </c>
      <c r="D102" s="9">
        <v>185</v>
      </c>
      <c r="E102" s="9">
        <f>476+1210+2201+3550+5056</f>
        <v>12493</v>
      </c>
      <c r="F102" s="9">
        <v>30194</v>
      </c>
      <c r="G102" s="9">
        <v>36806</v>
      </c>
      <c r="H102" s="9">
        <v>28768</v>
      </c>
      <c r="I102" s="9">
        <v>13838</v>
      </c>
      <c r="J102" s="9">
        <v>2702</v>
      </c>
      <c r="K102" s="9">
        <v>174</v>
      </c>
      <c r="L102" s="9">
        <v>12</v>
      </c>
    </row>
    <row r="103" spans="2:12">
      <c r="B103" s="8">
        <v>2008</v>
      </c>
      <c r="C103" s="9">
        <v>121231</v>
      </c>
      <c r="D103" s="9">
        <v>249</v>
      </c>
      <c r="E103" s="9">
        <v>12028</v>
      </c>
      <c r="F103" s="9">
        <v>29143</v>
      </c>
      <c r="G103" s="9">
        <v>35542</v>
      </c>
      <c r="H103" s="9">
        <v>28015</v>
      </c>
      <c r="I103" s="9">
        <v>13213</v>
      </c>
      <c r="J103" s="9">
        <v>2804</v>
      </c>
      <c r="K103" s="9">
        <v>226</v>
      </c>
      <c r="L103" s="9">
        <v>11</v>
      </c>
    </row>
    <row r="104" spans="2:12">
      <c r="B104" s="8">
        <v>2009</v>
      </c>
      <c r="C104" s="9">
        <v>117309</v>
      </c>
      <c r="D104" s="9">
        <v>133</v>
      </c>
      <c r="E104" s="9">
        <v>11708</v>
      </c>
      <c r="F104" s="9">
        <v>28442</v>
      </c>
      <c r="G104" s="9">
        <v>34515</v>
      </c>
      <c r="H104" s="9">
        <v>27577</v>
      </c>
      <c r="I104" s="9">
        <v>12146</v>
      </c>
      <c r="J104" s="9">
        <v>2627</v>
      </c>
      <c r="K104" s="9">
        <v>159</v>
      </c>
      <c r="L104" s="9">
        <v>2</v>
      </c>
    </row>
    <row r="105" spans="2:12">
      <c r="B105" s="8"/>
      <c r="C105" s="9"/>
      <c r="D105" s="9"/>
      <c r="E105" s="9"/>
      <c r="F105" s="9"/>
      <c r="G105" s="9"/>
      <c r="H105" s="9"/>
      <c r="I105" s="9"/>
      <c r="J105" s="9"/>
      <c r="K105" s="9"/>
      <c r="L105" s="9"/>
    </row>
    <row r="106" spans="2:12">
      <c r="B106" s="8">
        <v>2010</v>
      </c>
      <c r="C106" s="9">
        <v>114717</v>
      </c>
      <c r="D106" s="9">
        <v>112</v>
      </c>
      <c r="E106" s="9">
        <v>10832</v>
      </c>
      <c r="F106" s="9">
        <v>27814</v>
      </c>
      <c r="G106" s="9">
        <v>33680</v>
      </c>
      <c r="H106" s="9">
        <v>27515</v>
      </c>
      <c r="I106" s="9">
        <v>11938</v>
      </c>
      <c r="J106" s="9">
        <v>2622</v>
      </c>
      <c r="K106" s="9">
        <v>201</v>
      </c>
      <c r="L106" s="9">
        <v>3</v>
      </c>
    </row>
    <row r="107" spans="2:12">
      <c r="B107" s="8">
        <v>2011</v>
      </c>
      <c r="C107" s="9">
        <v>114159</v>
      </c>
      <c r="D107" s="9">
        <v>94</v>
      </c>
      <c r="E107" s="9">
        <v>9655</v>
      </c>
      <c r="F107" s="9">
        <v>27907</v>
      </c>
      <c r="G107" s="9">
        <v>33703</v>
      </c>
      <c r="H107" s="9">
        <v>28175</v>
      </c>
      <c r="I107" s="9">
        <v>11719</v>
      </c>
      <c r="J107" s="9">
        <v>2720</v>
      </c>
      <c r="K107" s="9">
        <v>170</v>
      </c>
      <c r="L107" s="9">
        <v>16</v>
      </c>
    </row>
    <row r="108" spans="2:12">
      <c r="B108" s="8">
        <v>2012</v>
      </c>
      <c r="C108" s="9">
        <v>112708</v>
      </c>
      <c r="D108" s="9">
        <v>105</v>
      </c>
      <c r="E108" s="9">
        <v>8893</v>
      </c>
      <c r="F108" s="9">
        <v>27616</v>
      </c>
      <c r="G108" s="9">
        <v>33299</v>
      </c>
      <c r="H108" s="9">
        <v>28398</v>
      </c>
      <c r="I108" s="9">
        <v>11616</v>
      </c>
      <c r="J108" s="9">
        <v>2595</v>
      </c>
      <c r="K108" s="9">
        <v>177</v>
      </c>
      <c r="L108" s="9">
        <v>9</v>
      </c>
    </row>
    <row r="109" spans="2:12">
      <c r="B109" s="8">
        <v>2013</v>
      </c>
      <c r="C109" s="9">
        <v>113732</v>
      </c>
      <c r="D109" s="9">
        <v>74</v>
      </c>
      <c r="E109" s="9">
        <v>7870</v>
      </c>
      <c r="F109" s="9">
        <v>27666</v>
      </c>
      <c r="G109" s="9">
        <v>33882</v>
      </c>
      <c r="H109" s="9">
        <v>29309</v>
      </c>
      <c r="I109" s="9">
        <v>12106</v>
      </c>
      <c r="J109" s="9">
        <v>2632</v>
      </c>
      <c r="K109" s="9">
        <v>188</v>
      </c>
      <c r="L109" s="9">
        <v>5</v>
      </c>
    </row>
    <row r="110" spans="2:12">
      <c r="B110" s="6"/>
      <c r="C110" s="15"/>
      <c r="D110" s="15"/>
      <c r="E110" s="15"/>
      <c r="F110" s="15"/>
      <c r="G110" s="15"/>
      <c r="H110" s="15"/>
      <c r="I110" s="15"/>
      <c r="J110" s="15"/>
      <c r="K110" s="15"/>
      <c r="L110" s="15"/>
    </row>
    <row r="111" spans="2:12" ht="47.25" customHeight="1">
      <c r="B111" s="285" t="s">
        <v>585</v>
      </c>
      <c r="C111" s="280"/>
      <c r="D111" s="280"/>
      <c r="E111" s="280"/>
      <c r="F111" s="280"/>
      <c r="G111" s="280"/>
      <c r="H111" s="280"/>
      <c r="I111" s="280"/>
      <c r="J111" s="280"/>
      <c r="K111" s="280"/>
      <c r="L111" s="280"/>
    </row>
    <row r="112" spans="2:12" ht="22.5" customHeight="1">
      <c r="B112" s="286" t="s">
        <v>273</v>
      </c>
      <c r="C112" s="287"/>
      <c r="D112" s="287"/>
      <c r="E112" s="287"/>
      <c r="F112" s="287"/>
      <c r="G112" s="287"/>
      <c r="H112" s="287"/>
      <c r="I112" s="287"/>
      <c r="J112" s="287"/>
      <c r="K112" s="287"/>
      <c r="L112" s="287"/>
    </row>
    <row r="113" spans="2:12" ht="33" customHeight="1">
      <c r="B113" s="285" t="s">
        <v>316</v>
      </c>
      <c r="C113" s="280"/>
      <c r="D113" s="280"/>
      <c r="E113" s="280"/>
      <c r="F113" s="280"/>
      <c r="G113" s="280"/>
      <c r="H113" s="280"/>
      <c r="I113" s="280"/>
      <c r="J113" s="280"/>
      <c r="K113" s="280"/>
      <c r="L113" s="280"/>
    </row>
    <row r="114" spans="2:12" ht="15.75">
      <c r="B114" s="286" t="s">
        <v>274</v>
      </c>
      <c r="C114" s="287"/>
      <c r="D114" s="287"/>
      <c r="E114" s="287"/>
      <c r="F114" s="287"/>
      <c r="G114" s="287"/>
      <c r="H114" s="287"/>
      <c r="I114" s="287"/>
      <c r="J114" s="287"/>
      <c r="K114" s="287"/>
      <c r="L114" s="287"/>
    </row>
    <row r="115" spans="2:12" ht="15.75">
      <c r="B115" s="286" t="s">
        <v>317</v>
      </c>
      <c r="C115" s="287"/>
      <c r="D115" s="287"/>
      <c r="E115" s="287"/>
      <c r="F115" s="287"/>
      <c r="G115" s="287"/>
      <c r="H115" s="287"/>
      <c r="I115" s="287"/>
      <c r="J115" s="287"/>
      <c r="K115" s="287"/>
      <c r="L115" s="287"/>
    </row>
    <row r="116" spans="2:12" ht="15.75">
      <c r="B116" s="286" t="s">
        <v>318</v>
      </c>
      <c r="C116" s="287"/>
      <c r="D116" s="287"/>
      <c r="E116" s="287"/>
      <c r="F116" s="287"/>
      <c r="G116" s="287"/>
      <c r="H116" s="287"/>
      <c r="I116" s="287"/>
      <c r="J116" s="287"/>
      <c r="K116" s="287"/>
      <c r="L116" s="287"/>
    </row>
    <row r="117" spans="2:12" ht="15.75" customHeight="1">
      <c r="B117" s="285" t="s">
        <v>630</v>
      </c>
      <c r="C117" s="285"/>
      <c r="D117" s="285"/>
      <c r="E117" s="285"/>
      <c r="F117" s="285"/>
      <c r="G117" s="285"/>
      <c r="H117" s="285"/>
      <c r="I117" s="285"/>
      <c r="J117" s="285"/>
      <c r="K117" s="285"/>
      <c r="L117" s="285"/>
    </row>
    <row r="118" spans="2:12" ht="15.75" customHeight="1">
      <c r="B118" s="285"/>
      <c r="C118" s="285"/>
      <c r="D118" s="285"/>
      <c r="E118" s="285"/>
      <c r="F118" s="285"/>
      <c r="G118" s="285"/>
      <c r="H118" s="285"/>
      <c r="I118" s="285"/>
      <c r="J118" s="285"/>
      <c r="K118" s="285"/>
      <c r="L118" s="285"/>
    </row>
  </sheetData>
  <mergeCells count="8">
    <mergeCell ref="B117:L118"/>
    <mergeCell ref="B5:B6"/>
    <mergeCell ref="B115:L115"/>
    <mergeCell ref="B116:L116"/>
    <mergeCell ref="B111:L111"/>
    <mergeCell ref="B112:L112"/>
    <mergeCell ref="B113:L113"/>
    <mergeCell ref="B114:L114"/>
  </mergeCells>
  <phoneticPr fontId="0" type="noConversion"/>
  <printOptions horizontalCentered="1"/>
  <pageMargins left="0.5" right="0.1" top="0.5" bottom="0.25" header="0" footer="0"/>
  <pageSetup scale="83" orientation="portrait" horizontalDpi="4294967292" verticalDpi="4294967292"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c r="B1" s="152"/>
    </row>
    <row r="2" spans="1:12" ht="15.75">
      <c r="B2" s="5" t="s">
        <v>118</v>
      </c>
      <c r="C2" s="4"/>
      <c r="D2" s="4"/>
      <c r="E2" s="4"/>
      <c r="F2" s="4"/>
      <c r="G2" s="4"/>
      <c r="H2" s="4"/>
      <c r="I2" s="4"/>
      <c r="J2" s="4"/>
      <c r="K2" s="4"/>
      <c r="L2" s="4"/>
    </row>
    <row r="3" spans="1:12">
      <c r="B3" s="3" t="s">
        <v>582</v>
      </c>
      <c r="C3" s="4"/>
      <c r="D3" s="4"/>
      <c r="E3" s="4"/>
      <c r="F3" s="4"/>
      <c r="G3" s="4"/>
      <c r="H3" s="4"/>
      <c r="I3" s="4"/>
      <c r="J3" s="4"/>
      <c r="K3" s="4"/>
      <c r="L3" s="4"/>
    </row>
    <row r="4" spans="1:12">
      <c r="B4" s="282" t="s">
        <v>51</v>
      </c>
      <c r="C4" s="282" t="s">
        <v>157</v>
      </c>
      <c r="D4" s="153" t="s">
        <v>544</v>
      </c>
      <c r="E4" s="58"/>
      <c r="F4" s="135"/>
      <c r="G4" s="154" t="s">
        <v>545</v>
      </c>
      <c r="H4" s="58"/>
      <c r="I4" s="135"/>
      <c r="J4" s="154" t="s">
        <v>546</v>
      </c>
      <c r="K4" s="58"/>
      <c r="L4" s="135"/>
    </row>
    <row r="5" spans="1:12">
      <c r="B5" s="283"/>
      <c r="C5" s="283"/>
      <c r="D5" s="155" t="s">
        <v>435</v>
      </c>
      <c r="E5" s="155" t="s">
        <v>550</v>
      </c>
      <c r="F5" s="155" t="s">
        <v>551</v>
      </c>
      <c r="G5" s="155" t="s">
        <v>435</v>
      </c>
      <c r="H5" s="155" t="s">
        <v>550</v>
      </c>
      <c r="I5" s="155" t="s">
        <v>551</v>
      </c>
      <c r="J5" s="155" t="s">
        <v>435</v>
      </c>
      <c r="K5" s="155" t="s">
        <v>550</v>
      </c>
      <c r="L5" s="155" t="s">
        <v>551</v>
      </c>
    </row>
    <row r="6" spans="1:12" ht="15.75">
      <c r="B6" s="156" t="s">
        <v>52</v>
      </c>
      <c r="C6" s="157" t="s">
        <v>167</v>
      </c>
      <c r="D6" s="160">
        <v>6.5</v>
      </c>
      <c r="E6" s="160">
        <v>7.9</v>
      </c>
      <c r="F6" s="160">
        <v>5.7</v>
      </c>
      <c r="G6" s="160">
        <v>5.6</v>
      </c>
      <c r="H6" s="160">
        <v>6.7</v>
      </c>
      <c r="I6" s="160">
        <v>5</v>
      </c>
      <c r="J6" s="160">
        <v>14.2</v>
      </c>
      <c r="K6" s="160">
        <v>18.5</v>
      </c>
      <c r="L6" s="160">
        <v>11.6</v>
      </c>
    </row>
    <row r="7" spans="1:12">
      <c r="B7" s="11"/>
      <c r="C7" s="157" t="s">
        <v>168</v>
      </c>
      <c r="D7" s="160">
        <v>6.9</v>
      </c>
      <c r="E7" s="160">
        <v>7.7</v>
      </c>
      <c r="F7" s="160">
        <v>6.1</v>
      </c>
      <c r="G7" s="160">
        <v>5.9</v>
      </c>
      <c r="H7" s="160">
        <v>6.6</v>
      </c>
      <c r="I7" s="160">
        <v>5.3</v>
      </c>
      <c r="J7" s="160">
        <v>14.3</v>
      </c>
      <c r="K7" s="160">
        <v>16.899999999999999</v>
      </c>
      <c r="L7" s="160">
        <v>12.2</v>
      </c>
    </row>
    <row r="8" spans="1:12">
      <c r="B8" s="11"/>
      <c r="C8" s="157" t="s">
        <v>169</v>
      </c>
      <c r="D8" s="160">
        <v>7.5</v>
      </c>
      <c r="E8" s="160">
        <v>8.5</v>
      </c>
      <c r="F8" s="160">
        <v>6.9</v>
      </c>
      <c r="G8" s="160">
        <v>6.6</v>
      </c>
      <c r="H8" s="160">
        <v>7.6</v>
      </c>
      <c r="I8" s="160">
        <v>6.1</v>
      </c>
      <c r="J8" s="160">
        <v>14.8</v>
      </c>
      <c r="K8" s="160">
        <v>16.2</v>
      </c>
      <c r="L8" s="160">
        <v>13.9</v>
      </c>
    </row>
    <row r="9" spans="1:12">
      <c r="B9" s="11"/>
      <c r="C9" s="157" t="s">
        <v>170</v>
      </c>
      <c r="D9" s="160">
        <v>8.6999999999999993</v>
      </c>
      <c r="E9" s="160">
        <v>9.9</v>
      </c>
      <c r="F9" s="160">
        <v>7.9</v>
      </c>
      <c r="G9" s="160">
        <v>7.7</v>
      </c>
      <c r="H9" s="160">
        <v>8.6</v>
      </c>
      <c r="I9" s="160">
        <v>7.1</v>
      </c>
      <c r="J9" s="160">
        <v>17.3</v>
      </c>
      <c r="K9" s="160">
        <v>20.6</v>
      </c>
      <c r="L9" s="160">
        <v>15</v>
      </c>
    </row>
    <row r="10" spans="1:12">
      <c r="B10" s="11"/>
      <c r="C10" s="157">
        <v>1994</v>
      </c>
      <c r="D10" s="160">
        <v>7.3</v>
      </c>
      <c r="E10" s="160">
        <v>8.6</v>
      </c>
      <c r="F10" s="160">
        <v>6.5</v>
      </c>
      <c r="G10" s="160">
        <v>6.3</v>
      </c>
      <c r="H10" s="160">
        <v>7.4</v>
      </c>
      <c r="I10" s="160">
        <v>5.8</v>
      </c>
      <c r="J10" s="160">
        <v>15.8</v>
      </c>
      <c r="K10" s="160">
        <v>19.399999999999999</v>
      </c>
      <c r="L10" s="160">
        <v>13.3</v>
      </c>
    </row>
    <row r="11" spans="1:12" s="14" customFormat="1">
      <c r="B11" s="11"/>
      <c r="C11" s="157">
        <v>1995</v>
      </c>
      <c r="D11" s="160">
        <v>6.7</v>
      </c>
      <c r="E11" s="160">
        <v>7</v>
      </c>
      <c r="F11" s="160">
        <v>6.5</v>
      </c>
      <c r="G11" s="160">
        <v>5.7</v>
      </c>
      <c r="H11" s="160">
        <v>6.3</v>
      </c>
      <c r="I11" s="160">
        <v>5.4</v>
      </c>
      <c r="J11" s="160">
        <v>15</v>
      </c>
      <c r="K11" s="160">
        <v>12.1</v>
      </c>
      <c r="L11" s="160">
        <v>16.399999999999999</v>
      </c>
    </row>
    <row r="12" spans="1:12">
      <c r="B12" s="11"/>
      <c r="C12" s="157">
        <v>1996</v>
      </c>
      <c r="D12" s="160">
        <v>6.4</v>
      </c>
      <c r="E12" s="160">
        <v>6.5</v>
      </c>
      <c r="F12" s="160">
        <v>6.2</v>
      </c>
      <c r="G12" s="160">
        <v>5.6</v>
      </c>
      <c r="H12" s="160">
        <v>5.5</v>
      </c>
      <c r="I12" s="160">
        <v>5.5</v>
      </c>
      <c r="J12" s="160">
        <v>12.7</v>
      </c>
      <c r="K12" s="160">
        <v>14.1</v>
      </c>
      <c r="L12" s="160">
        <v>11.5</v>
      </c>
    </row>
    <row r="13" spans="1:12">
      <c r="B13" s="11"/>
      <c r="C13" s="157">
        <v>1997</v>
      </c>
      <c r="D13" s="160">
        <v>6.6</v>
      </c>
      <c r="E13" s="160">
        <v>7.3</v>
      </c>
      <c r="F13" s="160">
        <v>6.1</v>
      </c>
      <c r="G13" s="160">
        <v>5.5</v>
      </c>
      <c r="H13" s="160">
        <v>6.1</v>
      </c>
      <c r="I13" s="160">
        <v>5.2</v>
      </c>
      <c r="J13" s="160">
        <v>15.9</v>
      </c>
      <c r="K13" s="160">
        <v>17.399999999999999</v>
      </c>
      <c r="L13" s="160">
        <v>14.1</v>
      </c>
    </row>
    <row r="14" spans="1:12">
      <c r="B14" s="11"/>
      <c r="C14" s="157">
        <v>1998</v>
      </c>
      <c r="D14" s="160">
        <v>7.7</v>
      </c>
      <c r="E14" s="160">
        <v>8</v>
      </c>
      <c r="F14" s="160">
        <v>7.3</v>
      </c>
      <c r="G14" s="160">
        <v>6.4</v>
      </c>
      <c r="H14" s="160">
        <v>7.1</v>
      </c>
      <c r="I14" s="160">
        <v>5.9</v>
      </c>
      <c r="J14" s="160">
        <v>18.5</v>
      </c>
      <c r="K14" s="160">
        <v>17</v>
      </c>
      <c r="L14" s="160">
        <v>18.8</v>
      </c>
    </row>
    <row r="15" spans="1:12">
      <c r="B15" s="11"/>
      <c r="C15" s="157">
        <v>1999</v>
      </c>
      <c r="D15" s="160">
        <v>11.9</v>
      </c>
      <c r="E15" s="160">
        <v>13.5</v>
      </c>
      <c r="F15" s="160">
        <v>10.9</v>
      </c>
      <c r="G15" s="160">
        <v>9.6999999999999993</v>
      </c>
      <c r="H15" s="160">
        <v>10.8</v>
      </c>
      <c r="I15" s="160">
        <v>8.9</v>
      </c>
      <c r="J15" s="160">
        <v>31.6</v>
      </c>
      <c r="K15" s="160">
        <v>36.799999999999997</v>
      </c>
      <c r="L15" s="160">
        <v>27.7</v>
      </c>
    </row>
    <row r="16" spans="1:12">
      <c r="B16" s="11"/>
      <c r="C16" s="157">
        <v>2000</v>
      </c>
      <c r="D16" s="160">
        <v>11.2</v>
      </c>
      <c r="E16" s="160">
        <v>11.9</v>
      </c>
      <c r="F16" s="160">
        <v>10.6</v>
      </c>
      <c r="G16" s="160">
        <v>9</v>
      </c>
      <c r="H16" s="160">
        <v>9.5</v>
      </c>
      <c r="I16" s="160">
        <v>8.6</v>
      </c>
      <c r="J16" s="160">
        <v>30.2</v>
      </c>
      <c r="K16" s="160">
        <v>33.4</v>
      </c>
      <c r="L16" s="160">
        <v>27.9</v>
      </c>
    </row>
    <row r="17" spans="2:12">
      <c r="B17" s="11"/>
      <c r="C17" s="8">
        <v>2001</v>
      </c>
      <c r="D17" s="160">
        <v>9</v>
      </c>
      <c r="E17" s="160">
        <v>10</v>
      </c>
      <c r="F17" s="160">
        <v>8.3000000000000007</v>
      </c>
      <c r="G17" s="160">
        <v>7.3</v>
      </c>
      <c r="H17" s="160">
        <v>8.1</v>
      </c>
      <c r="I17" s="160">
        <v>6.9</v>
      </c>
      <c r="J17" s="160">
        <v>22.9</v>
      </c>
      <c r="K17" s="160">
        <v>27.3</v>
      </c>
      <c r="L17" s="160">
        <v>19.899999999999999</v>
      </c>
    </row>
    <row r="18" spans="2:12">
      <c r="B18" s="11"/>
      <c r="C18" s="157">
        <v>2002</v>
      </c>
      <c r="D18" s="160">
        <v>9.1999999999999993</v>
      </c>
      <c r="E18" s="159">
        <v>10.3</v>
      </c>
      <c r="F18" s="159">
        <v>8.5</v>
      </c>
      <c r="G18" s="159">
        <v>7.8</v>
      </c>
      <c r="H18" s="159">
        <v>8.8000000000000007</v>
      </c>
      <c r="I18" s="159">
        <v>7</v>
      </c>
      <c r="J18" s="159">
        <v>21.9</v>
      </c>
      <c r="K18" s="159">
        <v>23.9</v>
      </c>
      <c r="L18" s="159">
        <v>20.7</v>
      </c>
    </row>
    <row r="19" spans="2:12">
      <c r="B19" s="11"/>
      <c r="C19" s="157">
        <v>2003</v>
      </c>
      <c r="D19" s="160">
        <v>9.1</v>
      </c>
      <c r="E19" s="159">
        <v>10.5</v>
      </c>
      <c r="F19" s="159">
        <v>8.1999999999999993</v>
      </c>
      <c r="G19" s="159">
        <v>7.7</v>
      </c>
      <c r="H19" s="159">
        <v>9</v>
      </c>
      <c r="I19" s="159">
        <v>7</v>
      </c>
      <c r="J19" s="159">
        <v>21.1</v>
      </c>
      <c r="K19" s="159">
        <v>25</v>
      </c>
      <c r="L19" s="159">
        <v>18.5</v>
      </c>
    </row>
    <row r="20" spans="2:12">
      <c r="B20" s="11"/>
      <c r="C20" s="157">
        <v>2004</v>
      </c>
      <c r="D20" s="160">
        <v>8.3000000000000007</v>
      </c>
      <c r="E20" s="159">
        <v>8.9</v>
      </c>
      <c r="F20" s="159">
        <v>7.9</v>
      </c>
      <c r="G20" s="159">
        <v>7.1</v>
      </c>
      <c r="H20" s="159">
        <v>7.5</v>
      </c>
      <c r="I20" s="159">
        <v>6.9</v>
      </c>
      <c r="J20" s="159">
        <v>18.100000000000001</v>
      </c>
      <c r="K20" s="159">
        <v>20.7</v>
      </c>
      <c r="L20" s="159">
        <v>16</v>
      </c>
    </row>
    <row r="21" spans="2:12">
      <c r="B21" s="11"/>
      <c r="C21" s="157">
        <v>2005</v>
      </c>
      <c r="D21" s="160">
        <v>8.6</v>
      </c>
      <c r="E21" s="159">
        <v>9.6</v>
      </c>
      <c r="F21" s="159">
        <v>8</v>
      </c>
      <c r="G21" s="159">
        <v>7.5</v>
      </c>
      <c r="H21" s="159">
        <v>8.1999999999999993</v>
      </c>
      <c r="I21" s="159">
        <v>7.1</v>
      </c>
      <c r="J21" s="159">
        <v>17.600000000000001</v>
      </c>
      <c r="K21" s="159">
        <v>21.1</v>
      </c>
      <c r="L21" s="159">
        <v>15.4</v>
      </c>
    </row>
    <row r="22" spans="2:12">
      <c r="B22" s="11"/>
      <c r="C22" s="157">
        <v>2006</v>
      </c>
      <c r="D22" s="160">
        <v>8.8000000000000007</v>
      </c>
      <c r="E22" s="159">
        <v>10.199999999999999</v>
      </c>
      <c r="F22" s="159">
        <v>7.9</v>
      </c>
      <c r="G22" s="159">
        <v>7.7</v>
      </c>
      <c r="H22" s="159">
        <v>8.8000000000000007</v>
      </c>
      <c r="I22" s="159">
        <v>7</v>
      </c>
      <c r="J22" s="159">
        <v>17.600000000000001</v>
      </c>
      <c r="K22" s="159">
        <v>22.3</v>
      </c>
      <c r="L22" s="159">
        <v>14.7</v>
      </c>
    </row>
    <row r="23" spans="2:12">
      <c r="B23" s="11"/>
      <c r="C23" s="157">
        <v>2007</v>
      </c>
      <c r="D23" s="160">
        <v>9</v>
      </c>
      <c r="E23" s="159">
        <v>9.6999999999999993</v>
      </c>
      <c r="F23" s="159">
        <v>8.6</v>
      </c>
      <c r="G23" s="159">
        <v>7.7</v>
      </c>
      <c r="H23" s="159">
        <v>8.1999999999999993</v>
      </c>
      <c r="I23" s="159">
        <v>7.4</v>
      </c>
      <c r="J23" s="159">
        <v>19.7</v>
      </c>
      <c r="K23" s="159">
        <v>23.6</v>
      </c>
      <c r="L23" s="159">
        <v>17.5</v>
      </c>
    </row>
    <row r="24" spans="2:12">
      <c r="B24" s="11"/>
      <c r="C24" s="157">
        <v>2008</v>
      </c>
      <c r="D24" s="160">
        <v>9.1999999999999993</v>
      </c>
      <c r="E24" s="159">
        <v>9.5</v>
      </c>
      <c r="F24" s="159">
        <v>9</v>
      </c>
      <c r="G24" s="159">
        <v>8</v>
      </c>
      <c r="H24" s="159">
        <v>7.9</v>
      </c>
      <c r="I24" s="159">
        <v>8.1999999999999993</v>
      </c>
      <c r="J24" s="159">
        <v>19.3</v>
      </c>
      <c r="K24" s="159">
        <v>22.8</v>
      </c>
      <c r="L24" s="159">
        <v>16.899999999999999</v>
      </c>
    </row>
    <row r="25" spans="2:12">
      <c r="B25" s="11"/>
      <c r="C25" s="157">
        <v>2009</v>
      </c>
      <c r="D25" s="160">
        <v>9.6</v>
      </c>
      <c r="E25" s="159">
        <v>11</v>
      </c>
      <c r="F25" s="159">
        <v>8.8000000000000007</v>
      </c>
      <c r="G25" s="159">
        <v>8.3000000000000007</v>
      </c>
      <c r="H25" s="159">
        <v>9.5</v>
      </c>
      <c r="I25" s="159">
        <v>7.7</v>
      </c>
      <c r="J25" s="159">
        <v>20.100000000000001</v>
      </c>
      <c r="K25" s="159">
        <v>24</v>
      </c>
      <c r="L25" s="159">
        <v>17.5</v>
      </c>
    </row>
    <row r="26" spans="2:12">
      <c r="B26" s="11"/>
      <c r="C26" s="157">
        <v>2010</v>
      </c>
      <c r="D26" s="160">
        <v>8.5</v>
      </c>
      <c r="E26" s="159">
        <v>9.6999999999999993</v>
      </c>
      <c r="F26" s="159">
        <v>7.8</v>
      </c>
      <c r="G26" s="159">
        <v>7.2</v>
      </c>
      <c r="H26" s="159">
        <v>8.1</v>
      </c>
      <c r="I26" s="159">
        <v>6.5</v>
      </c>
      <c r="J26" s="159">
        <v>19.5</v>
      </c>
      <c r="K26" s="159">
        <v>23.7</v>
      </c>
      <c r="L26" s="159">
        <v>17.2</v>
      </c>
    </row>
    <row r="27" spans="2:12">
      <c r="B27" s="11"/>
      <c r="C27" s="157">
        <v>2011</v>
      </c>
      <c r="D27" s="160">
        <v>8.5</v>
      </c>
      <c r="E27" s="159">
        <v>9.4</v>
      </c>
      <c r="F27" s="159">
        <v>7.8</v>
      </c>
      <c r="G27" s="159">
        <v>7.5</v>
      </c>
      <c r="H27" s="159">
        <v>8.4</v>
      </c>
      <c r="I27" s="159">
        <v>6.9</v>
      </c>
      <c r="J27" s="159">
        <v>16.3</v>
      </c>
      <c r="K27" s="159">
        <v>18</v>
      </c>
      <c r="L27" s="159">
        <v>14.9</v>
      </c>
    </row>
    <row r="28" spans="2:12">
      <c r="B28" s="11"/>
      <c r="C28" s="157">
        <v>2012</v>
      </c>
      <c r="D28" s="160">
        <v>9.4</v>
      </c>
      <c r="E28" s="159">
        <v>10.7</v>
      </c>
      <c r="F28" s="159">
        <v>8.5</v>
      </c>
      <c r="G28" s="159">
        <v>8.1999999999999993</v>
      </c>
      <c r="H28" s="159">
        <v>9.4</v>
      </c>
      <c r="I28" s="159">
        <v>7.3</v>
      </c>
      <c r="J28" s="159">
        <v>18.5</v>
      </c>
      <c r="K28" s="159">
        <v>21.1</v>
      </c>
      <c r="L28" s="159">
        <v>17.3</v>
      </c>
    </row>
    <row r="29" spans="2:12">
      <c r="B29" s="11"/>
      <c r="C29" s="157">
        <v>2013</v>
      </c>
      <c r="D29" s="160">
        <v>10.199999999999999</v>
      </c>
      <c r="E29" s="159">
        <v>10.8</v>
      </c>
      <c r="F29" s="159">
        <v>9.8000000000000007</v>
      </c>
      <c r="G29" s="159">
        <v>9.3000000000000007</v>
      </c>
      <c r="H29" s="159">
        <v>9.6999999999999993</v>
      </c>
      <c r="I29" s="159">
        <v>9</v>
      </c>
      <c r="J29" s="159">
        <v>18.3</v>
      </c>
      <c r="K29" s="159">
        <v>20.8</v>
      </c>
      <c r="L29" s="159">
        <v>16.8</v>
      </c>
    </row>
    <row r="30" spans="2:12">
      <c r="B30" s="11"/>
      <c r="C30" s="157"/>
      <c r="D30" s="160"/>
      <c r="E30" s="159"/>
      <c r="F30" s="159"/>
      <c r="G30" s="159"/>
      <c r="H30" s="159"/>
      <c r="I30" s="159"/>
      <c r="J30" s="159"/>
      <c r="K30" s="159"/>
      <c r="L30" s="159"/>
    </row>
    <row r="31" spans="2:12" ht="15.75">
      <c r="B31" s="162" t="s">
        <v>54</v>
      </c>
      <c r="C31" s="163" t="s">
        <v>167</v>
      </c>
      <c r="D31" s="193">
        <v>4.0999999999999996</v>
      </c>
      <c r="E31" s="164">
        <v>4.9000000000000004</v>
      </c>
      <c r="F31" s="164">
        <v>3.5</v>
      </c>
      <c r="G31" s="164">
        <v>3.5</v>
      </c>
      <c r="H31" s="164">
        <v>4.2</v>
      </c>
      <c r="I31" s="164">
        <v>3.1</v>
      </c>
      <c r="J31" s="164">
        <v>9.5</v>
      </c>
      <c r="K31" s="164">
        <v>11.6</v>
      </c>
      <c r="L31" s="164">
        <v>8</v>
      </c>
    </row>
    <row r="32" spans="2:12" ht="15.75">
      <c r="B32" s="165" t="s">
        <v>55</v>
      </c>
      <c r="C32" s="157" t="s">
        <v>168</v>
      </c>
      <c r="D32" s="161">
        <v>4.0999999999999996</v>
      </c>
      <c r="E32" s="48">
        <v>4.7</v>
      </c>
      <c r="F32" s="48">
        <v>3.6</v>
      </c>
      <c r="G32" s="48">
        <v>3.5</v>
      </c>
      <c r="H32" s="48">
        <v>4.0999999999999996</v>
      </c>
      <c r="I32" s="48">
        <v>3.1</v>
      </c>
      <c r="J32" s="48">
        <v>9.5</v>
      </c>
      <c r="K32" s="48">
        <v>11.6</v>
      </c>
      <c r="L32" s="48">
        <v>7.9</v>
      </c>
    </row>
    <row r="33" spans="2:12">
      <c r="B33" s="11"/>
      <c r="C33" s="157">
        <v>1992</v>
      </c>
      <c r="D33" s="161">
        <v>4</v>
      </c>
      <c r="E33" s="48">
        <v>4.5999999999999996</v>
      </c>
      <c r="F33" s="48">
        <v>3.6</v>
      </c>
      <c r="G33" s="48">
        <v>3.5</v>
      </c>
      <c r="H33" s="48">
        <v>3.9</v>
      </c>
      <c r="I33" s="48">
        <v>3.1</v>
      </c>
      <c r="J33" s="48">
        <v>9.5</v>
      </c>
      <c r="K33" s="48">
        <v>11.4</v>
      </c>
      <c r="L33" s="48">
        <v>8.1</v>
      </c>
    </row>
    <row r="34" spans="2:12">
      <c r="B34" s="11"/>
      <c r="C34" s="158" t="s">
        <v>170</v>
      </c>
      <c r="D34" s="160">
        <v>4.0999999999999996</v>
      </c>
      <c r="E34" s="159">
        <v>4.5999999999999996</v>
      </c>
      <c r="F34" s="159">
        <v>3.6</v>
      </c>
      <c r="G34" s="159">
        <v>3.6</v>
      </c>
      <c r="H34" s="159">
        <v>4</v>
      </c>
      <c r="I34" s="159">
        <v>3.2</v>
      </c>
      <c r="J34" s="159">
        <v>9.1</v>
      </c>
      <c r="K34" s="159">
        <v>11</v>
      </c>
      <c r="L34" s="159">
        <v>7.8</v>
      </c>
    </row>
    <row r="35" spans="2:12">
      <c r="B35" s="166"/>
      <c r="C35" s="157">
        <v>1994</v>
      </c>
      <c r="D35" s="160">
        <v>4</v>
      </c>
      <c r="E35" s="167">
        <v>4.5999999999999996</v>
      </c>
      <c r="F35" s="167">
        <v>3.5</v>
      </c>
      <c r="G35" s="167">
        <v>3.5</v>
      </c>
      <c r="H35" s="167">
        <v>4</v>
      </c>
      <c r="I35" s="167">
        <v>3.1</v>
      </c>
      <c r="J35" s="167">
        <v>9.1</v>
      </c>
      <c r="K35" s="167">
        <v>10.9</v>
      </c>
      <c r="L35" s="167">
        <v>7.7</v>
      </c>
    </row>
    <row r="36" spans="2:12" s="14" customFormat="1">
      <c r="B36" s="166"/>
      <c r="C36" s="158" t="s">
        <v>56</v>
      </c>
      <c r="D36" s="160">
        <v>4.0999999999999996</v>
      </c>
      <c r="E36" s="168">
        <v>4.5999999999999996</v>
      </c>
      <c r="F36" s="168">
        <v>3.7</v>
      </c>
      <c r="G36" s="168">
        <v>3.5</v>
      </c>
      <c r="H36" s="168">
        <v>3.9</v>
      </c>
      <c r="I36" s="168">
        <v>3.2</v>
      </c>
      <c r="J36" s="168">
        <v>9.5</v>
      </c>
      <c r="K36" s="168">
        <v>11.4</v>
      </c>
      <c r="L36" s="168">
        <v>8</v>
      </c>
    </row>
    <row r="37" spans="2:12">
      <c r="B37" s="166"/>
      <c r="C37" s="158" t="s">
        <v>57</v>
      </c>
      <c r="D37" s="160">
        <v>4.0999999999999996</v>
      </c>
      <c r="E37" s="168">
        <v>4.5999999999999996</v>
      </c>
      <c r="F37" s="168">
        <v>3.6</v>
      </c>
      <c r="G37" s="168">
        <v>3.5</v>
      </c>
      <c r="H37" s="168">
        <v>3.9</v>
      </c>
      <c r="I37" s="168">
        <v>3.2</v>
      </c>
      <c r="J37" s="168">
        <v>9.6999999999999993</v>
      </c>
      <c r="K37" s="168">
        <v>11.7</v>
      </c>
      <c r="L37" s="168">
        <v>8.1</v>
      </c>
    </row>
    <row r="38" spans="2:12">
      <c r="B38" s="166"/>
      <c r="C38" s="158" t="s">
        <v>58</v>
      </c>
      <c r="D38" s="160">
        <v>4.2</v>
      </c>
      <c r="E38" s="168">
        <v>4.7</v>
      </c>
      <c r="F38" s="168">
        <v>3.8</v>
      </c>
      <c r="G38" s="168">
        <v>3.6</v>
      </c>
      <c r="H38" s="168">
        <v>4</v>
      </c>
      <c r="I38" s="168">
        <v>3.2</v>
      </c>
      <c r="J38" s="168">
        <v>10</v>
      </c>
      <c r="K38" s="168">
        <v>11.5</v>
      </c>
      <c r="L38" s="168">
        <v>8.9</v>
      </c>
    </row>
    <row r="39" spans="2:12">
      <c r="B39" s="166"/>
      <c r="C39" s="158" t="s">
        <v>59</v>
      </c>
      <c r="D39" s="168">
        <v>4.4000000000000004</v>
      </c>
      <c r="E39" s="168">
        <v>4.8</v>
      </c>
      <c r="F39" s="168">
        <v>4</v>
      </c>
      <c r="G39" s="168">
        <v>3.8</v>
      </c>
      <c r="H39" s="168">
        <v>4.2</v>
      </c>
      <c r="I39" s="168">
        <v>3.5</v>
      </c>
      <c r="J39" s="168">
        <v>10.4</v>
      </c>
      <c r="K39" s="168">
        <v>11.5</v>
      </c>
      <c r="L39" s="168">
        <v>9.5</v>
      </c>
    </row>
    <row r="40" spans="2:12">
      <c r="B40" s="166"/>
      <c r="C40" s="157">
        <v>1999</v>
      </c>
      <c r="D40" s="127">
        <v>11.3</v>
      </c>
      <c r="E40" s="168">
        <v>12.5</v>
      </c>
      <c r="F40" s="168">
        <v>10.4</v>
      </c>
      <c r="G40" s="168">
        <v>10</v>
      </c>
      <c r="H40" s="168">
        <v>11.1</v>
      </c>
      <c r="I40" s="168">
        <v>9.3000000000000007</v>
      </c>
      <c r="J40" s="168">
        <v>24.6</v>
      </c>
      <c r="K40" s="168">
        <v>28.9</v>
      </c>
      <c r="L40" s="168">
        <v>21.9</v>
      </c>
    </row>
    <row r="41" spans="2:12">
      <c r="B41" s="166"/>
      <c r="C41" s="8">
        <v>2000</v>
      </c>
      <c r="D41" s="127">
        <v>11.4</v>
      </c>
      <c r="E41" s="127">
        <v>12.2</v>
      </c>
      <c r="F41" s="127">
        <v>10.6</v>
      </c>
      <c r="G41" s="127">
        <v>10.199999999999999</v>
      </c>
      <c r="H41" s="127">
        <v>11</v>
      </c>
      <c r="I41" s="127">
        <v>9.5</v>
      </c>
      <c r="J41" s="127">
        <v>24.8</v>
      </c>
      <c r="K41" s="127">
        <v>27.3</v>
      </c>
      <c r="L41" s="127">
        <v>23</v>
      </c>
    </row>
    <row r="42" spans="2:12">
      <c r="B42" s="166"/>
      <c r="C42" s="8">
        <v>2001</v>
      </c>
      <c r="D42" s="127">
        <v>11.4</v>
      </c>
      <c r="E42" s="127">
        <v>12.7</v>
      </c>
      <c r="F42" s="127">
        <v>10.5</v>
      </c>
      <c r="G42" s="127">
        <v>10.3</v>
      </c>
      <c r="H42" s="127">
        <v>11.5</v>
      </c>
      <c r="I42" s="127">
        <v>9.5</v>
      </c>
      <c r="J42" s="127">
        <v>23.6</v>
      </c>
      <c r="K42" s="127">
        <v>27.7</v>
      </c>
      <c r="L42" s="127">
        <v>21.2</v>
      </c>
    </row>
    <row r="43" spans="2:12">
      <c r="B43" s="166"/>
      <c r="C43" s="8">
        <v>2002</v>
      </c>
      <c r="D43" s="127">
        <v>11.7</v>
      </c>
      <c r="E43" s="127">
        <v>12.9</v>
      </c>
      <c r="F43" s="127">
        <v>10.9</v>
      </c>
      <c r="G43" s="127">
        <v>10.7</v>
      </c>
      <c r="H43" s="127">
        <v>11.7</v>
      </c>
      <c r="I43" s="127">
        <v>9.9</v>
      </c>
      <c r="J43" s="127">
        <v>24.2</v>
      </c>
      <c r="K43" s="127">
        <v>27.8</v>
      </c>
      <c r="L43" s="127">
        <v>22.1</v>
      </c>
    </row>
    <row r="44" spans="2:12">
      <c r="B44" s="166"/>
      <c r="C44" s="8">
        <v>2003</v>
      </c>
      <c r="D44" s="127">
        <v>11.6</v>
      </c>
      <c r="E44" s="127">
        <v>12.7</v>
      </c>
      <c r="F44" s="127">
        <v>10.9</v>
      </c>
      <c r="G44" s="127">
        <v>10.5</v>
      </c>
      <c r="H44" s="127">
        <v>11.5</v>
      </c>
      <c r="I44" s="127">
        <v>9.9</v>
      </c>
      <c r="J44" s="127">
        <v>23.8</v>
      </c>
      <c r="K44" s="127">
        <v>27.3</v>
      </c>
      <c r="L44" s="127">
        <v>21.6</v>
      </c>
    </row>
    <row r="45" spans="2:12">
      <c r="B45" s="166"/>
      <c r="C45" s="8">
        <v>2004</v>
      </c>
      <c r="D45" s="127">
        <v>11.2</v>
      </c>
      <c r="E45" s="127">
        <v>12.3</v>
      </c>
      <c r="F45" s="127">
        <v>10.3</v>
      </c>
      <c r="G45" s="127">
        <v>10.199999999999999</v>
      </c>
      <c r="H45" s="127">
        <v>11.3</v>
      </c>
      <c r="I45" s="127">
        <v>9.4</v>
      </c>
      <c r="J45" s="127">
        <v>22.5</v>
      </c>
      <c r="K45" s="127">
        <v>25.7</v>
      </c>
      <c r="L45" s="127">
        <v>20.399999999999999</v>
      </c>
    </row>
    <row r="46" spans="2:12">
      <c r="B46" s="166"/>
      <c r="C46" s="8">
        <v>2005</v>
      </c>
      <c r="D46" s="127">
        <v>11.2</v>
      </c>
      <c r="E46" s="127">
        <v>12.3</v>
      </c>
      <c r="F46" s="127">
        <v>10.4</v>
      </c>
      <c r="G46" s="127">
        <v>10.199999999999999</v>
      </c>
      <c r="H46" s="127">
        <v>11.2</v>
      </c>
      <c r="I46" s="127">
        <v>9.4</v>
      </c>
      <c r="J46" s="127">
        <v>22.6</v>
      </c>
      <c r="K46" s="127">
        <v>25.8</v>
      </c>
      <c r="L46" s="127">
        <v>20.5</v>
      </c>
    </row>
    <row r="47" spans="2:12">
      <c r="B47" s="166"/>
      <c r="C47" s="8">
        <v>2006</v>
      </c>
      <c r="D47" s="127">
        <v>11</v>
      </c>
      <c r="E47" s="127">
        <v>12.1</v>
      </c>
      <c r="F47" s="127">
        <v>10.199999999999999</v>
      </c>
      <c r="G47" s="127">
        <v>10.1</v>
      </c>
      <c r="H47" s="127">
        <v>11.2</v>
      </c>
      <c r="I47" s="127">
        <v>9.3000000000000007</v>
      </c>
      <c r="J47" s="127">
        <v>21.6</v>
      </c>
      <c r="K47" s="127">
        <v>24.2</v>
      </c>
      <c r="L47" s="127">
        <v>19.899999999999999</v>
      </c>
    </row>
    <row r="48" spans="2:12">
      <c r="B48" s="166"/>
      <c r="C48" s="8">
        <v>2007</v>
      </c>
      <c r="D48" s="127">
        <v>11</v>
      </c>
      <c r="E48" s="127">
        <v>12.1</v>
      </c>
      <c r="F48" s="127">
        <v>10.199999999999999</v>
      </c>
      <c r="G48" s="127">
        <v>10</v>
      </c>
      <c r="H48" s="127">
        <v>11.1</v>
      </c>
      <c r="I48" s="127">
        <v>9.3000000000000007</v>
      </c>
      <c r="J48" s="127">
        <v>21.7</v>
      </c>
      <c r="K48" s="127">
        <v>24.6</v>
      </c>
      <c r="L48" s="127">
        <v>19.899999999999999</v>
      </c>
    </row>
    <row r="49" spans="2:12">
      <c r="B49" s="166"/>
      <c r="C49" s="8">
        <v>2008</v>
      </c>
      <c r="D49" s="127">
        <v>11.1</v>
      </c>
      <c r="E49" s="127">
        <v>12.1</v>
      </c>
      <c r="F49" s="127">
        <v>10.3</v>
      </c>
      <c r="G49" s="127">
        <v>10.199999999999999</v>
      </c>
      <c r="H49" s="127">
        <v>11.2</v>
      </c>
      <c r="I49" s="127">
        <v>9.5</v>
      </c>
      <c r="J49" s="127">
        <v>21.6</v>
      </c>
      <c r="K49" s="127">
        <v>24.4</v>
      </c>
      <c r="L49" s="127">
        <v>19.8</v>
      </c>
    </row>
    <row r="50" spans="2:12">
      <c r="B50" s="166"/>
      <c r="C50" s="8">
        <v>2009</v>
      </c>
      <c r="D50" s="127">
        <v>10.9</v>
      </c>
      <c r="E50" s="127">
        <v>12.1</v>
      </c>
      <c r="F50" s="127">
        <v>10.1</v>
      </c>
      <c r="G50" s="127">
        <v>10.1</v>
      </c>
      <c r="H50" s="127">
        <v>11.2</v>
      </c>
      <c r="I50" s="127">
        <v>9.3000000000000007</v>
      </c>
      <c r="J50" s="127">
        <v>20.7</v>
      </c>
      <c r="K50" s="127">
        <v>23.6</v>
      </c>
      <c r="L50" s="127">
        <v>19</v>
      </c>
    </row>
    <row r="51" spans="2:12">
      <c r="B51" s="166"/>
      <c r="C51" s="8">
        <v>2010</v>
      </c>
      <c r="D51" s="127">
        <v>10.6</v>
      </c>
      <c r="E51" s="127">
        <v>11.7</v>
      </c>
      <c r="F51" s="127">
        <v>9.6999999999999993</v>
      </c>
      <c r="G51" s="127">
        <v>9.8000000000000007</v>
      </c>
      <c r="H51" s="127">
        <v>10.9</v>
      </c>
      <c r="I51" s="127">
        <v>9</v>
      </c>
      <c r="J51" s="127">
        <v>19.399999999999999</v>
      </c>
      <c r="K51" s="127">
        <v>22</v>
      </c>
      <c r="L51" s="127">
        <v>17.899999999999999</v>
      </c>
    </row>
    <row r="52" spans="2:12">
      <c r="B52" s="166"/>
      <c r="C52" s="8">
        <v>2011</v>
      </c>
      <c r="D52" s="127">
        <v>10.5</v>
      </c>
      <c r="E52" s="127">
        <v>11.5</v>
      </c>
      <c r="F52" s="127">
        <v>9.8000000000000007</v>
      </c>
      <c r="G52" s="127">
        <v>9.9</v>
      </c>
      <c r="H52" s="127">
        <v>10.8</v>
      </c>
      <c r="I52" s="127">
        <v>9.1</v>
      </c>
      <c r="J52" s="127">
        <v>18.8</v>
      </c>
      <c r="K52" s="127">
        <v>21</v>
      </c>
      <c r="L52" s="127">
        <v>17.399999999999999</v>
      </c>
    </row>
    <row r="53" spans="2:12">
      <c r="B53" s="166"/>
      <c r="C53" s="8">
        <v>2012</v>
      </c>
      <c r="D53" s="127">
        <v>10.3</v>
      </c>
      <c r="E53" s="127">
        <v>11.4</v>
      </c>
      <c r="F53" s="127">
        <v>9.5</v>
      </c>
      <c r="G53" s="127">
        <v>9.6999999999999993</v>
      </c>
      <c r="H53" s="127">
        <v>10.8</v>
      </c>
      <c r="I53" s="127">
        <v>8.9</v>
      </c>
      <c r="J53" s="127">
        <v>18.100000000000001</v>
      </c>
      <c r="K53" s="127">
        <v>20.5</v>
      </c>
      <c r="L53" s="127">
        <v>16.600000000000001</v>
      </c>
    </row>
    <row r="54" spans="2:12">
      <c r="B54" s="171"/>
      <c r="C54" s="6"/>
      <c r="D54" s="175"/>
      <c r="E54" s="175"/>
      <c r="F54" s="175"/>
      <c r="G54" s="175"/>
      <c r="H54" s="175"/>
      <c r="I54" s="175"/>
      <c r="J54" s="175"/>
      <c r="K54" s="175"/>
      <c r="L54" s="175"/>
    </row>
    <row r="55" spans="2:12" ht="29.25" customHeight="1">
      <c r="B55" s="347" t="s">
        <v>615</v>
      </c>
      <c r="C55" s="348"/>
      <c r="D55" s="348"/>
      <c r="E55" s="348"/>
      <c r="F55" s="348"/>
      <c r="G55" s="348"/>
      <c r="H55" s="348"/>
      <c r="I55" s="348"/>
      <c r="J55" s="348"/>
      <c r="K55" s="348"/>
      <c r="L55" s="348"/>
    </row>
    <row r="56" spans="2:12" ht="58.5" customHeight="1">
      <c r="B56" s="347" t="s">
        <v>60</v>
      </c>
      <c r="C56" s="348"/>
      <c r="D56" s="348"/>
      <c r="E56" s="348"/>
      <c r="F56" s="348"/>
      <c r="G56" s="348"/>
      <c r="H56" s="348"/>
      <c r="I56" s="348"/>
      <c r="J56" s="348"/>
      <c r="K56" s="348"/>
      <c r="L56" s="348"/>
    </row>
    <row r="57" spans="2:12" ht="81" customHeight="1">
      <c r="B57" s="347" t="s">
        <v>61</v>
      </c>
      <c r="C57" s="348"/>
      <c r="D57" s="348"/>
      <c r="E57" s="348"/>
      <c r="F57" s="348"/>
      <c r="G57" s="348"/>
      <c r="H57" s="348"/>
      <c r="I57" s="348"/>
      <c r="J57" s="348"/>
      <c r="K57" s="348"/>
      <c r="L57" s="348"/>
    </row>
    <row r="58" spans="2:12" ht="30.75" customHeight="1">
      <c r="B58" s="347" t="s">
        <v>62</v>
      </c>
      <c r="C58" s="348"/>
      <c r="D58" s="348"/>
      <c r="E58" s="348"/>
      <c r="F58" s="348"/>
      <c r="G58" s="348"/>
      <c r="H58" s="348"/>
      <c r="I58" s="348"/>
      <c r="J58" s="348"/>
      <c r="K58" s="348"/>
      <c r="L58" s="348"/>
    </row>
  </sheetData>
  <mergeCells count="6">
    <mergeCell ref="B57:L57"/>
    <mergeCell ref="B58:L58"/>
    <mergeCell ref="B4:B5"/>
    <mergeCell ref="C4:C5"/>
    <mergeCell ref="B55:L55"/>
    <mergeCell ref="B56:L56"/>
  </mergeCells>
  <phoneticPr fontId="1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heetViews>
  <sheetFormatPr defaultColWidth="12.83203125" defaultRowHeight="15"/>
  <cols>
    <col min="1" max="1" width="4.5" style="2" customWidth="1"/>
    <col min="2" max="2" width="14.1640625" style="2" customWidth="1"/>
    <col min="3" max="3" width="10.5" style="2" customWidth="1"/>
    <col min="4" max="12" width="9.5" style="2" customWidth="1"/>
    <col min="13" max="34" width="12.83203125" style="2"/>
    <col min="35" max="35" width="6.1640625" style="2" customWidth="1"/>
    <col min="36" max="16384" width="12.83203125" style="2"/>
  </cols>
  <sheetData>
    <row r="1" spans="1:12" ht="15.75">
      <c r="A1" s="1"/>
    </row>
    <row r="2" spans="1:12" ht="15.75">
      <c r="B2" s="5" t="s">
        <v>117</v>
      </c>
      <c r="C2" s="4"/>
      <c r="D2" s="4"/>
      <c r="E2" s="4"/>
      <c r="F2" s="4"/>
      <c r="G2" s="4"/>
      <c r="H2" s="4"/>
      <c r="I2" s="4"/>
      <c r="J2" s="4"/>
      <c r="K2" s="4"/>
      <c r="L2" s="4"/>
    </row>
    <row r="3" spans="1:12">
      <c r="B3" s="3" t="s">
        <v>582</v>
      </c>
      <c r="C3" s="4"/>
      <c r="D3" s="4"/>
      <c r="E3" s="4"/>
      <c r="F3" s="4"/>
      <c r="G3" s="4"/>
      <c r="H3" s="4"/>
      <c r="I3" s="4"/>
      <c r="J3" s="4"/>
      <c r="K3" s="4"/>
      <c r="L3" s="4"/>
    </row>
    <row r="4" spans="1:12">
      <c r="B4" s="282" t="s">
        <v>51</v>
      </c>
      <c r="C4" s="282" t="s">
        <v>157</v>
      </c>
      <c r="D4" s="153" t="s">
        <v>544</v>
      </c>
      <c r="E4" s="58"/>
      <c r="F4" s="135"/>
      <c r="G4" s="154" t="s">
        <v>545</v>
      </c>
      <c r="H4" s="58"/>
      <c r="I4" s="135"/>
      <c r="J4" s="154" t="s">
        <v>546</v>
      </c>
      <c r="K4" s="58"/>
      <c r="L4" s="135"/>
    </row>
    <row r="5" spans="1:12">
      <c r="B5" s="283"/>
      <c r="C5" s="283"/>
      <c r="D5" s="155" t="s">
        <v>435</v>
      </c>
      <c r="E5" s="155" t="s">
        <v>550</v>
      </c>
      <c r="F5" s="155" t="s">
        <v>551</v>
      </c>
      <c r="G5" s="155" t="s">
        <v>435</v>
      </c>
      <c r="H5" s="155" t="s">
        <v>550</v>
      </c>
      <c r="I5" s="155" t="s">
        <v>551</v>
      </c>
      <c r="J5" s="155" t="s">
        <v>435</v>
      </c>
      <c r="K5" s="155" t="s">
        <v>550</v>
      </c>
      <c r="L5" s="155" t="s">
        <v>551</v>
      </c>
    </row>
    <row r="6" spans="1:12" ht="15.75">
      <c r="B6" s="156" t="s">
        <v>52</v>
      </c>
      <c r="C6" s="157" t="s">
        <v>167</v>
      </c>
      <c r="D6" s="160">
        <v>10.9</v>
      </c>
      <c r="E6" s="160">
        <v>11.9</v>
      </c>
      <c r="F6" s="160">
        <v>10.3</v>
      </c>
      <c r="G6" s="160">
        <v>11.6</v>
      </c>
      <c r="H6" s="160">
        <v>12.8</v>
      </c>
      <c r="I6" s="160">
        <v>10.9</v>
      </c>
      <c r="J6" s="160">
        <v>4.7</v>
      </c>
      <c r="K6" s="170" t="s">
        <v>292</v>
      </c>
      <c r="L6" s="160">
        <v>4.9000000000000004</v>
      </c>
    </row>
    <row r="7" spans="1:12">
      <c r="B7" s="11"/>
      <c r="C7" s="157" t="s">
        <v>168</v>
      </c>
      <c r="D7" s="160">
        <v>10.7</v>
      </c>
      <c r="E7" s="160">
        <v>11.8</v>
      </c>
      <c r="F7" s="160">
        <v>9.9</v>
      </c>
      <c r="G7" s="160">
        <v>11.4</v>
      </c>
      <c r="H7" s="160">
        <v>12.7</v>
      </c>
      <c r="I7" s="160">
        <v>10.4</v>
      </c>
      <c r="J7" s="160">
        <v>4.7</v>
      </c>
      <c r="K7" s="170" t="s">
        <v>292</v>
      </c>
      <c r="L7" s="160">
        <v>4.5999999999999996</v>
      </c>
    </row>
    <row r="8" spans="1:12">
      <c r="B8" s="11"/>
      <c r="C8" s="157" t="s">
        <v>169</v>
      </c>
      <c r="D8" s="160">
        <v>9.8000000000000007</v>
      </c>
      <c r="E8" s="160">
        <v>10.1</v>
      </c>
      <c r="F8" s="160">
        <v>9.5</v>
      </c>
      <c r="G8" s="160">
        <v>10</v>
      </c>
      <c r="H8" s="160">
        <v>10.199999999999999</v>
      </c>
      <c r="I8" s="160">
        <v>9.8000000000000007</v>
      </c>
      <c r="J8" s="160">
        <v>7.7</v>
      </c>
      <c r="K8" s="160">
        <v>9.8000000000000007</v>
      </c>
      <c r="L8" s="160">
        <v>6.5</v>
      </c>
    </row>
    <row r="9" spans="1:12">
      <c r="B9" s="11"/>
      <c r="C9" s="157" t="s">
        <v>170</v>
      </c>
      <c r="D9" s="160">
        <v>9.3000000000000007</v>
      </c>
      <c r="E9" s="160">
        <v>10</v>
      </c>
      <c r="F9" s="160">
        <v>8.6999999999999993</v>
      </c>
      <c r="G9" s="160">
        <v>9.6999999999999993</v>
      </c>
      <c r="H9" s="160">
        <v>10.3</v>
      </c>
      <c r="I9" s="160">
        <v>9.1999999999999993</v>
      </c>
      <c r="J9" s="160">
        <v>5.0999999999999996</v>
      </c>
      <c r="K9" s="160">
        <v>6.3</v>
      </c>
      <c r="L9" s="160">
        <v>4.3</v>
      </c>
    </row>
    <row r="10" spans="1:12">
      <c r="B10" s="11"/>
      <c r="C10" s="157">
        <v>1994</v>
      </c>
      <c r="D10" s="160">
        <v>9.6999999999999993</v>
      </c>
      <c r="E10" s="160">
        <v>10.4</v>
      </c>
      <c r="F10" s="160">
        <v>9.1</v>
      </c>
      <c r="G10" s="160">
        <v>9.9</v>
      </c>
      <c r="H10" s="160">
        <v>10.9</v>
      </c>
      <c r="I10" s="160">
        <v>9.1999999999999993</v>
      </c>
      <c r="J10" s="160">
        <v>7.2</v>
      </c>
      <c r="K10" s="170" t="s">
        <v>292</v>
      </c>
      <c r="L10" s="160">
        <v>7.5</v>
      </c>
    </row>
    <row r="11" spans="1:12" s="14" customFormat="1">
      <c r="B11" s="11"/>
      <c r="C11" s="157">
        <v>1995</v>
      </c>
      <c r="D11" s="160">
        <v>8.9</v>
      </c>
      <c r="E11" s="160">
        <v>9.6</v>
      </c>
      <c r="F11" s="160">
        <v>8.4</v>
      </c>
      <c r="G11" s="160">
        <v>9.3000000000000007</v>
      </c>
      <c r="H11" s="160">
        <v>10</v>
      </c>
      <c r="I11" s="160">
        <v>8.6999999999999993</v>
      </c>
      <c r="J11" s="160">
        <v>5</v>
      </c>
      <c r="K11" s="170" t="s">
        <v>292</v>
      </c>
      <c r="L11" s="160">
        <v>4.9000000000000004</v>
      </c>
    </row>
    <row r="12" spans="1:12">
      <c r="B12" s="11"/>
      <c r="C12" s="157">
        <v>1996</v>
      </c>
      <c r="D12" s="160">
        <v>8.6999999999999993</v>
      </c>
      <c r="E12" s="160">
        <v>9</v>
      </c>
      <c r="F12" s="160">
        <v>8.4</v>
      </c>
      <c r="G12" s="160">
        <v>9.1</v>
      </c>
      <c r="H12" s="160">
        <v>9.3000000000000007</v>
      </c>
      <c r="I12" s="160">
        <v>8.6999999999999993</v>
      </c>
      <c r="J12" s="160">
        <v>5.2</v>
      </c>
      <c r="K12" s="170" t="s">
        <v>292</v>
      </c>
      <c r="L12" s="160">
        <v>5.3</v>
      </c>
    </row>
    <row r="13" spans="1:12">
      <c r="B13" s="11"/>
      <c r="C13" s="157">
        <v>1997</v>
      </c>
      <c r="D13" s="160">
        <v>7.8</v>
      </c>
      <c r="E13" s="160">
        <v>8</v>
      </c>
      <c r="F13" s="160">
        <v>7.7</v>
      </c>
      <c r="G13" s="160">
        <v>8.1</v>
      </c>
      <c r="H13" s="160">
        <v>8.1999999999999993</v>
      </c>
      <c r="I13" s="160">
        <v>7.9</v>
      </c>
      <c r="J13" s="160">
        <v>5.3</v>
      </c>
      <c r="K13" s="170" t="s">
        <v>292</v>
      </c>
      <c r="L13" s="160">
        <v>5.0999999999999996</v>
      </c>
    </row>
    <row r="14" spans="1:12">
      <c r="B14" s="11"/>
      <c r="C14" s="157">
        <v>1998</v>
      </c>
      <c r="D14" s="160">
        <v>7.2</v>
      </c>
      <c r="E14" s="160">
        <v>7.3</v>
      </c>
      <c r="F14" s="160">
        <v>6.9</v>
      </c>
      <c r="G14" s="160">
        <v>7.4</v>
      </c>
      <c r="H14" s="160">
        <v>7.6</v>
      </c>
      <c r="I14" s="160">
        <v>7.1</v>
      </c>
      <c r="J14" s="160">
        <v>4.8</v>
      </c>
      <c r="K14" s="170" t="s">
        <v>292</v>
      </c>
      <c r="L14" s="160">
        <v>4.9000000000000004</v>
      </c>
    </row>
    <row r="15" spans="1:12">
      <c r="B15" s="11"/>
      <c r="C15" s="157">
        <v>1999</v>
      </c>
      <c r="D15" s="160">
        <v>6.2</v>
      </c>
      <c r="E15" s="160">
        <v>6.2</v>
      </c>
      <c r="F15" s="160">
        <v>6.1</v>
      </c>
      <c r="G15" s="160">
        <v>6.3</v>
      </c>
      <c r="H15" s="160">
        <v>6.2</v>
      </c>
      <c r="I15" s="160">
        <v>6.2</v>
      </c>
      <c r="J15" s="160">
        <v>5.7</v>
      </c>
      <c r="K15" s="170" t="s">
        <v>292</v>
      </c>
      <c r="L15" s="160">
        <v>5.2</v>
      </c>
    </row>
    <row r="16" spans="1:12">
      <c r="B16" s="11"/>
      <c r="C16" s="157">
        <v>2000</v>
      </c>
      <c r="D16" s="160">
        <v>7.1</v>
      </c>
      <c r="E16" s="160">
        <v>7.6</v>
      </c>
      <c r="F16" s="160">
        <v>6.6</v>
      </c>
      <c r="G16" s="160">
        <v>7.2</v>
      </c>
      <c r="H16" s="160">
        <v>7.9</v>
      </c>
      <c r="I16" s="160">
        <v>6.7</v>
      </c>
      <c r="J16" s="160">
        <v>5.9</v>
      </c>
      <c r="K16" s="160">
        <v>5.9</v>
      </c>
      <c r="L16" s="160">
        <v>5.5</v>
      </c>
    </row>
    <row r="17" spans="2:12">
      <c r="B17" s="11"/>
      <c r="C17" s="8">
        <v>2001</v>
      </c>
      <c r="D17" s="160">
        <v>6.4</v>
      </c>
      <c r="E17" s="160">
        <v>6.6</v>
      </c>
      <c r="F17" s="160">
        <v>6.3</v>
      </c>
      <c r="G17" s="160">
        <v>6.6</v>
      </c>
      <c r="H17" s="160">
        <v>6.8</v>
      </c>
      <c r="I17" s="160">
        <v>6.5</v>
      </c>
      <c r="J17" s="160">
        <v>4</v>
      </c>
      <c r="K17" s="170" t="s">
        <v>292</v>
      </c>
      <c r="L17" s="160">
        <v>3.9</v>
      </c>
    </row>
    <row r="18" spans="2:12">
      <c r="B18" s="11"/>
      <c r="C18" s="157">
        <v>2002</v>
      </c>
      <c r="D18" s="160">
        <v>5.8</v>
      </c>
      <c r="E18" s="159">
        <v>6.4</v>
      </c>
      <c r="F18" s="159">
        <v>5.4</v>
      </c>
      <c r="G18" s="159">
        <v>5.9</v>
      </c>
      <c r="H18" s="159">
        <v>6.5</v>
      </c>
      <c r="I18" s="159">
        <v>5.6</v>
      </c>
      <c r="J18" s="159">
        <v>4.2</v>
      </c>
      <c r="K18" s="170" t="s">
        <v>292</v>
      </c>
      <c r="L18" s="159">
        <v>3.4</v>
      </c>
    </row>
    <row r="19" spans="2:12">
      <c r="B19" s="11"/>
      <c r="C19" s="157">
        <v>2003</v>
      </c>
      <c r="D19" s="160">
        <v>5.2</v>
      </c>
      <c r="E19" s="159">
        <v>5.6</v>
      </c>
      <c r="F19" s="159">
        <v>4.8</v>
      </c>
      <c r="G19" s="159">
        <v>5.0999999999999996</v>
      </c>
      <c r="H19" s="159">
        <v>5.5</v>
      </c>
      <c r="I19" s="159">
        <v>4.7</v>
      </c>
      <c r="J19" s="159">
        <v>6.2</v>
      </c>
      <c r="K19" s="159">
        <v>7.2</v>
      </c>
      <c r="L19" s="159">
        <v>5.6</v>
      </c>
    </row>
    <row r="20" spans="2:12">
      <c r="B20" s="11"/>
      <c r="C20" s="157">
        <v>2004</v>
      </c>
      <c r="D20" s="160">
        <v>4.9000000000000004</v>
      </c>
      <c r="E20" s="159">
        <v>5</v>
      </c>
      <c r="F20" s="159">
        <v>4.8</v>
      </c>
      <c r="G20" s="159">
        <v>5</v>
      </c>
      <c r="H20" s="159">
        <v>5.0999999999999996</v>
      </c>
      <c r="I20" s="159">
        <v>4.9000000000000004</v>
      </c>
      <c r="J20" s="159">
        <v>4.5</v>
      </c>
      <c r="K20" s="169" t="s">
        <v>292</v>
      </c>
      <c r="L20" s="159">
        <v>4.3</v>
      </c>
    </row>
    <row r="21" spans="2:12">
      <c r="B21" s="11"/>
      <c r="C21" s="157">
        <v>2005</v>
      </c>
      <c r="D21" s="160">
        <v>4.5</v>
      </c>
      <c r="E21" s="159">
        <v>4.9000000000000004</v>
      </c>
      <c r="F21" s="159">
        <v>4.3</v>
      </c>
      <c r="G21" s="159">
        <v>4.5999999999999996</v>
      </c>
      <c r="H21" s="159">
        <v>5.0999999999999996</v>
      </c>
      <c r="I21" s="159">
        <v>4.3</v>
      </c>
      <c r="J21" s="159">
        <v>3.8</v>
      </c>
      <c r="K21" s="192" t="s">
        <v>292</v>
      </c>
      <c r="L21" s="159">
        <v>3.8</v>
      </c>
    </row>
    <row r="22" spans="2:12">
      <c r="B22" s="11"/>
      <c r="C22" s="157">
        <v>2006</v>
      </c>
      <c r="D22" s="160">
        <v>3.6</v>
      </c>
      <c r="E22" s="159">
        <v>3.6</v>
      </c>
      <c r="F22" s="159">
        <v>3.6</v>
      </c>
      <c r="G22" s="159">
        <v>3.3</v>
      </c>
      <c r="H22" s="159">
        <v>3.4</v>
      </c>
      <c r="I22" s="159">
        <v>3.2</v>
      </c>
      <c r="J22" s="159">
        <v>6.5</v>
      </c>
      <c r="K22" s="192">
        <v>5.7</v>
      </c>
      <c r="L22" s="159">
        <v>7</v>
      </c>
    </row>
    <row r="23" spans="2:12">
      <c r="B23" s="11"/>
      <c r="C23" s="157">
        <v>2007</v>
      </c>
      <c r="D23" s="160">
        <v>3.4</v>
      </c>
      <c r="E23" s="159">
        <v>3.4</v>
      </c>
      <c r="F23" s="159">
        <v>3.3</v>
      </c>
      <c r="G23" s="159">
        <v>3.4</v>
      </c>
      <c r="H23" s="159">
        <v>3.4</v>
      </c>
      <c r="I23" s="159">
        <v>3.3</v>
      </c>
      <c r="J23" s="159">
        <v>3.6</v>
      </c>
      <c r="K23" s="192" t="s">
        <v>292</v>
      </c>
      <c r="L23" s="159">
        <v>3.6</v>
      </c>
    </row>
    <row r="24" spans="2:12">
      <c r="B24" s="11"/>
      <c r="C24" s="157">
        <v>2008</v>
      </c>
      <c r="D24" s="160">
        <v>3.1</v>
      </c>
      <c r="E24" s="159">
        <v>3.3</v>
      </c>
      <c r="F24" s="159">
        <v>2.9</v>
      </c>
      <c r="G24" s="159">
        <v>3.1</v>
      </c>
      <c r="H24" s="159">
        <v>3.1</v>
      </c>
      <c r="I24" s="159">
        <v>3</v>
      </c>
      <c r="J24" s="159">
        <v>3.1</v>
      </c>
      <c r="K24" s="192" t="s">
        <v>292</v>
      </c>
      <c r="L24" s="192" t="s">
        <v>292</v>
      </c>
    </row>
    <row r="25" spans="2:12">
      <c r="B25" s="11"/>
      <c r="C25" s="157">
        <v>2009</v>
      </c>
      <c r="D25" s="160">
        <v>2.8</v>
      </c>
      <c r="E25" s="159">
        <v>2.9</v>
      </c>
      <c r="F25" s="159">
        <v>2.8</v>
      </c>
      <c r="G25" s="159">
        <v>2.9</v>
      </c>
      <c r="H25" s="159">
        <v>2.9</v>
      </c>
      <c r="I25" s="159">
        <v>2.8</v>
      </c>
      <c r="J25" s="159">
        <v>2.5</v>
      </c>
      <c r="K25" s="192" t="s">
        <v>292</v>
      </c>
      <c r="L25" s="192" t="s">
        <v>292</v>
      </c>
    </row>
    <row r="26" spans="2:12">
      <c r="B26" s="11"/>
      <c r="C26" s="157">
        <v>2010</v>
      </c>
      <c r="D26" s="160">
        <v>2.9</v>
      </c>
      <c r="E26" s="159">
        <v>2.9</v>
      </c>
      <c r="F26" s="159">
        <v>2.9</v>
      </c>
      <c r="G26" s="159">
        <v>3</v>
      </c>
      <c r="H26" s="159">
        <v>3</v>
      </c>
      <c r="I26" s="159">
        <v>2.9</v>
      </c>
      <c r="J26" s="159">
        <v>2.4</v>
      </c>
      <c r="K26" s="192" t="s">
        <v>292</v>
      </c>
      <c r="L26" s="192" t="s">
        <v>292</v>
      </c>
    </row>
    <row r="27" spans="2:12">
      <c r="B27" s="11"/>
      <c r="C27" s="157">
        <v>2011</v>
      </c>
      <c r="D27" s="160">
        <v>2.7</v>
      </c>
      <c r="E27" s="159">
        <v>2.8</v>
      </c>
      <c r="F27" s="159">
        <v>2.5</v>
      </c>
      <c r="G27" s="159">
        <v>2.7</v>
      </c>
      <c r="H27" s="159">
        <v>2.9</v>
      </c>
      <c r="I27" s="159">
        <v>2.5</v>
      </c>
      <c r="J27" s="159">
        <v>2.2999999999999998</v>
      </c>
      <c r="K27" s="192" t="s">
        <v>292</v>
      </c>
      <c r="L27" s="192" t="s">
        <v>292</v>
      </c>
    </row>
    <row r="28" spans="2:12">
      <c r="B28" s="11"/>
      <c r="C28" s="157">
        <v>2012</v>
      </c>
      <c r="D28" s="160">
        <v>2.8</v>
      </c>
      <c r="E28" s="159">
        <v>2.9</v>
      </c>
      <c r="F28" s="159">
        <v>2.7</v>
      </c>
      <c r="G28" s="159">
        <v>2.8</v>
      </c>
      <c r="H28" s="159">
        <v>2.8</v>
      </c>
      <c r="I28" s="159">
        <v>2.8</v>
      </c>
      <c r="J28" s="159">
        <v>2.7</v>
      </c>
      <c r="K28" s="192" t="s">
        <v>292</v>
      </c>
      <c r="L28" s="192" t="s">
        <v>292</v>
      </c>
    </row>
    <row r="29" spans="2:12">
      <c r="B29" s="11"/>
      <c r="C29" s="157">
        <v>2013</v>
      </c>
      <c r="D29" s="160">
        <v>2.8</v>
      </c>
      <c r="E29" s="159">
        <v>2.9</v>
      </c>
      <c r="F29" s="159">
        <v>2.7</v>
      </c>
      <c r="G29" s="159">
        <v>2.9</v>
      </c>
      <c r="H29" s="159">
        <v>2.9</v>
      </c>
      <c r="I29" s="159">
        <v>2.8</v>
      </c>
      <c r="J29" s="159">
        <v>2.6</v>
      </c>
      <c r="K29" s="192" t="s">
        <v>292</v>
      </c>
      <c r="L29" s="192" t="s">
        <v>292</v>
      </c>
    </row>
    <row r="30" spans="2:12">
      <c r="B30" s="11"/>
      <c r="C30" s="157"/>
      <c r="D30" s="160"/>
      <c r="E30" s="159"/>
      <c r="F30" s="159"/>
      <c r="G30" s="159"/>
      <c r="H30" s="159"/>
      <c r="I30" s="159"/>
      <c r="J30" s="159"/>
      <c r="K30" s="192"/>
      <c r="L30" s="159"/>
    </row>
    <row r="31" spans="2:12" ht="15.75">
      <c r="B31" s="162" t="s">
        <v>54</v>
      </c>
      <c r="C31" s="163" t="s">
        <v>167</v>
      </c>
      <c r="D31" s="193">
        <v>2.7</v>
      </c>
      <c r="E31" s="164">
        <v>3.2</v>
      </c>
      <c r="F31" s="164">
        <v>2.4</v>
      </c>
      <c r="G31" s="164">
        <v>2.7</v>
      </c>
      <c r="H31" s="164">
        <v>3.2</v>
      </c>
      <c r="I31" s="164">
        <v>2.4</v>
      </c>
      <c r="J31" s="164">
        <v>3.1</v>
      </c>
      <c r="K31" s="164">
        <v>3.6</v>
      </c>
      <c r="L31" s="164">
        <v>2.7</v>
      </c>
    </row>
    <row r="32" spans="2:12" ht="15.75">
      <c r="B32" s="165" t="s">
        <v>55</v>
      </c>
      <c r="C32" s="157" t="s">
        <v>168</v>
      </c>
      <c r="D32" s="161">
        <v>2.6</v>
      </c>
      <c r="E32" s="48">
        <v>3</v>
      </c>
      <c r="F32" s="48">
        <v>2.2000000000000002</v>
      </c>
      <c r="G32" s="48">
        <v>2.6</v>
      </c>
      <c r="H32" s="48">
        <v>3</v>
      </c>
      <c r="I32" s="48">
        <v>2.2000000000000002</v>
      </c>
      <c r="J32" s="48">
        <v>2.9</v>
      </c>
      <c r="K32" s="48">
        <v>3.5</v>
      </c>
      <c r="L32" s="48">
        <v>2.5</v>
      </c>
    </row>
    <row r="33" spans="2:12">
      <c r="B33" s="11"/>
      <c r="C33" s="157">
        <v>1992</v>
      </c>
      <c r="D33" s="161">
        <v>2.4</v>
      </c>
      <c r="E33" s="48">
        <v>2.8</v>
      </c>
      <c r="F33" s="48">
        <v>2.1</v>
      </c>
      <c r="G33" s="48">
        <v>2.4</v>
      </c>
      <c r="H33" s="48">
        <v>2.8</v>
      </c>
      <c r="I33" s="48">
        <v>2.2000000000000002</v>
      </c>
      <c r="J33" s="48">
        <v>2.6</v>
      </c>
      <c r="K33" s="48">
        <v>3.2</v>
      </c>
      <c r="L33" s="48">
        <v>2.2000000000000002</v>
      </c>
    </row>
    <row r="34" spans="2:12">
      <c r="B34" s="11"/>
      <c r="C34" s="158" t="s">
        <v>170</v>
      </c>
      <c r="D34" s="160">
        <v>2.4</v>
      </c>
      <c r="E34" s="159">
        <v>2.8</v>
      </c>
      <c r="F34" s="159">
        <v>2.1</v>
      </c>
      <c r="G34" s="159">
        <v>2.4</v>
      </c>
      <c r="H34" s="159">
        <v>2.8</v>
      </c>
      <c r="I34" s="159">
        <v>2.1</v>
      </c>
      <c r="J34" s="159">
        <v>2.6</v>
      </c>
      <c r="K34" s="159">
        <v>3</v>
      </c>
      <c r="L34" s="159">
        <v>2.2999999999999998</v>
      </c>
    </row>
    <row r="35" spans="2:12">
      <c r="B35" s="166"/>
      <c r="C35" s="157">
        <v>1994</v>
      </c>
      <c r="D35" s="160">
        <v>2.2999999999999998</v>
      </c>
      <c r="E35" s="167">
        <v>2.7</v>
      </c>
      <c r="F35" s="167">
        <v>2.1</v>
      </c>
      <c r="G35" s="167">
        <v>2.2999999999999998</v>
      </c>
      <c r="H35" s="167">
        <v>2.7</v>
      </c>
      <c r="I35" s="167">
        <v>2</v>
      </c>
      <c r="J35" s="167">
        <v>2.6</v>
      </c>
      <c r="K35" s="167">
        <v>3.1</v>
      </c>
      <c r="L35" s="167">
        <v>2.4</v>
      </c>
    </row>
    <row r="36" spans="2:12" s="14" customFormat="1">
      <c r="B36" s="166"/>
      <c r="C36" s="158" t="s">
        <v>56</v>
      </c>
      <c r="D36" s="160">
        <v>2.2999999999999998</v>
      </c>
      <c r="E36" s="168">
        <v>2.7</v>
      </c>
      <c r="F36" s="168">
        <v>2</v>
      </c>
      <c r="G36" s="168">
        <v>2.2999999999999998</v>
      </c>
      <c r="H36" s="168">
        <v>2.7</v>
      </c>
      <c r="I36" s="168">
        <v>2</v>
      </c>
      <c r="J36" s="168">
        <v>2.4</v>
      </c>
      <c r="K36" s="168">
        <v>2.9</v>
      </c>
      <c r="L36" s="168">
        <v>2.1</v>
      </c>
    </row>
    <row r="37" spans="2:12">
      <c r="B37" s="166"/>
      <c r="C37" s="158" t="s">
        <v>57</v>
      </c>
      <c r="D37" s="160">
        <v>2.2000000000000002</v>
      </c>
      <c r="E37" s="168">
        <v>2.5</v>
      </c>
      <c r="F37" s="168">
        <v>1.9</v>
      </c>
      <c r="G37" s="168">
        <v>2.2000000000000002</v>
      </c>
      <c r="H37" s="168">
        <v>2.6</v>
      </c>
      <c r="I37" s="168">
        <v>1.9</v>
      </c>
      <c r="J37" s="168">
        <v>2.4</v>
      </c>
      <c r="K37" s="168">
        <v>2.6</v>
      </c>
      <c r="L37" s="168">
        <v>2.1</v>
      </c>
    </row>
    <row r="38" spans="2:12">
      <c r="B38" s="166"/>
      <c r="C38" s="158" t="s">
        <v>58</v>
      </c>
      <c r="D38" s="160">
        <v>2.1</v>
      </c>
      <c r="E38" s="168">
        <v>2.4</v>
      </c>
      <c r="F38" s="168">
        <v>1.8</v>
      </c>
      <c r="G38" s="168">
        <v>2.1</v>
      </c>
      <c r="H38" s="168">
        <v>2.4</v>
      </c>
      <c r="I38" s="168">
        <v>1.8</v>
      </c>
      <c r="J38" s="168">
        <v>2.2000000000000002</v>
      </c>
      <c r="K38" s="168">
        <v>2.5</v>
      </c>
      <c r="L38" s="168">
        <v>2</v>
      </c>
    </row>
    <row r="39" spans="2:12">
      <c r="B39" s="166"/>
      <c r="C39" s="158" t="s">
        <v>59</v>
      </c>
      <c r="D39" s="168">
        <v>1.9</v>
      </c>
      <c r="E39" s="168">
        <v>2.2000000000000002</v>
      </c>
      <c r="F39" s="168">
        <v>1.7</v>
      </c>
      <c r="G39" s="168">
        <v>2</v>
      </c>
      <c r="H39" s="168">
        <v>2.2000000000000002</v>
      </c>
      <c r="I39" s="168">
        <v>1.7</v>
      </c>
      <c r="J39" s="168">
        <v>2</v>
      </c>
      <c r="K39" s="168">
        <v>2.4</v>
      </c>
      <c r="L39" s="168">
        <v>1.7</v>
      </c>
    </row>
    <row r="40" spans="2:12">
      <c r="B40" s="166"/>
      <c r="C40" s="157">
        <v>1999</v>
      </c>
      <c r="D40" s="127">
        <v>5.5</v>
      </c>
      <c r="E40" s="168">
        <v>5.7</v>
      </c>
      <c r="F40" s="168">
        <v>5.3</v>
      </c>
      <c r="G40" s="168">
        <v>5.6</v>
      </c>
      <c r="H40" s="168">
        <v>5.8</v>
      </c>
      <c r="I40" s="168">
        <v>5.4</v>
      </c>
      <c r="J40" s="168">
        <v>5</v>
      </c>
      <c r="K40" s="168">
        <v>5.8</v>
      </c>
      <c r="L40" s="168">
        <v>4.5</v>
      </c>
    </row>
    <row r="41" spans="2:12">
      <c r="B41" s="166"/>
      <c r="C41" s="8">
        <v>2000</v>
      </c>
      <c r="D41" s="127">
        <v>5.2</v>
      </c>
      <c r="E41" s="127">
        <v>5.3</v>
      </c>
      <c r="F41" s="127">
        <v>5</v>
      </c>
      <c r="G41" s="127">
        <v>5.3</v>
      </c>
      <c r="H41" s="127">
        <v>5.4</v>
      </c>
      <c r="I41" s="127">
        <v>5.0999999999999996</v>
      </c>
      <c r="J41" s="127">
        <v>4.8</v>
      </c>
      <c r="K41" s="127">
        <v>5.2</v>
      </c>
      <c r="L41" s="127">
        <v>4.5999999999999996</v>
      </c>
    </row>
    <row r="42" spans="2:12">
      <c r="B42" s="166"/>
      <c r="C42" s="8">
        <v>2001</v>
      </c>
      <c r="D42" s="127">
        <v>5</v>
      </c>
      <c r="E42" s="127">
        <v>5.0999999999999996</v>
      </c>
      <c r="F42" s="127">
        <v>4.8</v>
      </c>
      <c r="G42" s="127">
        <v>5.0999999999999996</v>
      </c>
      <c r="H42" s="127">
        <v>5.2</v>
      </c>
      <c r="I42" s="127">
        <v>5</v>
      </c>
      <c r="J42" s="127">
        <v>4.3</v>
      </c>
      <c r="K42" s="127">
        <v>4.5999999999999996</v>
      </c>
      <c r="L42" s="127">
        <v>4.0999999999999996</v>
      </c>
    </row>
    <row r="43" spans="2:12">
      <c r="B43" s="166"/>
      <c r="C43" s="8">
        <v>2002</v>
      </c>
      <c r="D43" s="127">
        <v>4.7</v>
      </c>
      <c r="E43" s="127">
        <v>4.9000000000000004</v>
      </c>
      <c r="F43" s="127">
        <v>4.5999999999999996</v>
      </c>
      <c r="G43" s="127">
        <v>4.8</v>
      </c>
      <c r="H43" s="127">
        <v>5</v>
      </c>
      <c r="I43" s="127">
        <v>4.7</v>
      </c>
      <c r="J43" s="127">
        <v>4.4000000000000004</v>
      </c>
      <c r="K43" s="127">
        <v>4.9000000000000004</v>
      </c>
      <c r="L43" s="127">
        <v>4</v>
      </c>
    </row>
    <row r="44" spans="2:12">
      <c r="B44" s="166"/>
      <c r="C44" s="8">
        <v>2003</v>
      </c>
      <c r="D44" s="127">
        <v>4.4000000000000004</v>
      </c>
      <c r="E44" s="127">
        <v>4.5</v>
      </c>
      <c r="F44" s="127">
        <v>4.3</v>
      </c>
      <c r="G44" s="127">
        <v>4.5</v>
      </c>
      <c r="H44" s="127">
        <v>4.5</v>
      </c>
      <c r="I44" s="127">
        <v>4.4000000000000004</v>
      </c>
      <c r="J44" s="127">
        <v>4.2</v>
      </c>
      <c r="K44" s="127">
        <v>4.7</v>
      </c>
      <c r="L44" s="127">
        <v>3.8</v>
      </c>
    </row>
    <row r="45" spans="2:12">
      <c r="B45" s="166"/>
      <c r="C45" s="8">
        <v>2004</v>
      </c>
      <c r="D45" s="127">
        <v>3.9</v>
      </c>
      <c r="E45" s="127">
        <v>4.0999999999999996</v>
      </c>
      <c r="F45" s="127">
        <v>3.7</v>
      </c>
      <c r="G45" s="127">
        <v>4</v>
      </c>
      <c r="H45" s="127">
        <v>4.2</v>
      </c>
      <c r="I45" s="127">
        <v>3.8</v>
      </c>
      <c r="J45" s="127">
        <v>3.5</v>
      </c>
      <c r="K45" s="127">
        <v>3.5</v>
      </c>
      <c r="L45" s="127">
        <v>3.3</v>
      </c>
    </row>
    <row r="46" spans="2:12">
      <c r="B46" s="166"/>
      <c r="C46" s="8">
        <v>2005</v>
      </c>
      <c r="D46" s="127">
        <v>3.8</v>
      </c>
      <c r="E46" s="127">
        <v>3.9</v>
      </c>
      <c r="F46" s="127">
        <v>3.7</v>
      </c>
      <c r="G46" s="127">
        <v>3.9</v>
      </c>
      <c r="H46" s="127">
        <v>4</v>
      </c>
      <c r="I46" s="127">
        <v>3.7</v>
      </c>
      <c r="J46" s="127">
        <v>3.4</v>
      </c>
      <c r="K46" s="127">
        <v>3.4</v>
      </c>
      <c r="L46" s="127">
        <v>3.3</v>
      </c>
    </row>
    <row r="47" spans="2:12">
      <c r="B47" s="166"/>
      <c r="C47" s="8">
        <v>2006</v>
      </c>
      <c r="D47" s="127">
        <v>2.7</v>
      </c>
      <c r="E47" s="127">
        <v>2.8</v>
      </c>
      <c r="F47" s="127">
        <v>2.6</v>
      </c>
      <c r="G47" s="127">
        <v>2.8</v>
      </c>
      <c r="H47" s="127">
        <v>2.8</v>
      </c>
      <c r="I47" s="127">
        <v>2.6</v>
      </c>
      <c r="J47" s="127">
        <v>2.7</v>
      </c>
      <c r="K47" s="127">
        <v>3.3</v>
      </c>
      <c r="L47" s="127">
        <v>2.4</v>
      </c>
    </row>
    <row r="48" spans="2:12">
      <c r="B48" s="166"/>
      <c r="C48" s="8">
        <v>2007</v>
      </c>
      <c r="D48" s="127">
        <v>2.5</v>
      </c>
      <c r="E48" s="127">
        <v>2.6</v>
      </c>
      <c r="F48" s="127">
        <v>2.4</v>
      </c>
      <c r="G48" s="127">
        <v>2.6</v>
      </c>
      <c r="H48" s="127">
        <v>2.7</v>
      </c>
      <c r="I48" s="127">
        <v>2.4</v>
      </c>
      <c r="J48" s="127">
        <v>2.4</v>
      </c>
      <c r="K48" s="127">
        <v>2.6</v>
      </c>
      <c r="L48" s="127">
        <v>2.2999999999999998</v>
      </c>
    </row>
    <row r="49" spans="2:12">
      <c r="B49" s="166"/>
      <c r="C49" s="8">
        <v>2008</v>
      </c>
      <c r="D49" s="127">
        <v>2.2999999999999998</v>
      </c>
      <c r="E49" s="127">
        <v>2.4</v>
      </c>
      <c r="F49" s="127">
        <v>2.2000000000000002</v>
      </c>
      <c r="G49" s="127">
        <v>2.4</v>
      </c>
      <c r="H49" s="127">
        <v>2.4</v>
      </c>
      <c r="I49" s="127">
        <v>2.2999999999999998</v>
      </c>
      <c r="J49" s="127">
        <v>2.4</v>
      </c>
      <c r="K49" s="127">
        <v>2.8</v>
      </c>
      <c r="L49" s="127">
        <v>2.1</v>
      </c>
    </row>
    <row r="50" spans="2:12">
      <c r="B50" s="166"/>
      <c r="C50" s="8">
        <v>2009</v>
      </c>
      <c r="D50" s="127">
        <v>2.2000000000000002</v>
      </c>
      <c r="E50" s="127">
        <v>2.2999999999999998</v>
      </c>
      <c r="F50" s="127">
        <v>2.1</v>
      </c>
      <c r="G50" s="127">
        <v>2.2000000000000002</v>
      </c>
      <c r="H50" s="127">
        <v>2.4</v>
      </c>
      <c r="I50" s="127">
        <v>2.1</v>
      </c>
      <c r="J50" s="127">
        <v>2.1</v>
      </c>
      <c r="K50" s="127">
        <v>2.2999999999999998</v>
      </c>
      <c r="L50" s="127">
        <v>2</v>
      </c>
    </row>
    <row r="51" spans="2:12">
      <c r="B51" s="166"/>
      <c r="C51" s="8">
        <v>2010</v>
      </c>
      <c r="D51" s="127">
        <v>2.2000000000000002</v>
      </c>
      <c r="E51" s="127">
        <v>2.2999999999999998</v>
      </c>
      <c r="F51" s="127">
        <v>2</v>
      </c>
      <c r="G51" s="127">
        <v>2.2000000000000002</v>
      </c>
      <c r="H51" s="127">
        <v>2.2999999999999998</v>
      </c>
      <c r="I51" s="127">
        <v>2.1</v>
      </c>
      <c r="J51" s="127">
        <v>2.1</v>
      </c>
      <c r="K51" s="127">
        <v>2.4</v>
      </c>
      <c r="L51" s="127">
        <v>1.9</v>
      </c>
    </row>
    <row r="52" spans="2:12">
      <c r="B52" s="166"/>
      <c r="C52" s="8">
        <v>2011</v>
      </c>
      <c r="D52" s="127">
        <v>2</v>
      </c>
      <c r="E52" s="127">
        <v>2.1</v>
      </c>
      <c r="F52" s="127">
        <v>1.9</v>
      </c>
      <c r="G52" s="127">
        <v>2.1</v>
      </c>
      <c r="H52" s="127">
        <v>2.2000000000000002</v>
      </c>
      <c r="I52" s="127">
        <v>1.9</v>
      </c>
      <c r="J52" s="127">
        <v>1.9</v>
      </c>
      <c r="K52" s="127">
        <v>2.2000000000000002</v>
      </c>
      <c r="L52" s="127">
        <v>1.8</v>
      </c>
    </row>
    <row r="53" spans="2:12">
      <c r="B53" s="166"/>
      <c r="C53" s="8">
        <v>2012</v>
      </c>
      <c r="D53" s="127">
        <v>2</v>
      </c>
      <c r="E53" s="127">
        <v>2.1</v>
      </c>
      <c r="F53" s="127">
        <v>1.9</v>
      </c>
      <c r="G53" s="127">
        <v>2</v>
      </c>
      <c r="H53" s="127">
        <v>2.1</v>
      </c>
      <c r="I53" s="127">
        <v>1.9</v>
      </c>
      <c r="J53" s="127">
        <v>1.8</v>
      </c>
      <c r="K53" s="127">
        <v>2.2999999999999998</v>
      </c>
      <c r="L53" s="127">
        <v>1.6</v>
      </c>
    </row>
    <row r="54" spans="2:12">
      <c r="B54" s="171"/>
      <c r="C54" s="6"/>
      <c r="D54" s="175"/>
      <c r="E54" s="175"/>
      <c r="F54" s="175"/>
      <c r="G54" s="175"/>
      <c r="H54" s="175"/>
      <c r="I54" s="175"/>
      <c r="J54" s="175"/>
      <c r="K54" s="175"/>
      <c r="L54" s="175"/>
    </row>
    <row r="55" spans="2:12" ht="29.25" customHeight="1">
      <c r="B55" s="347" t="s">
        <v>615</v>
      </c>
      <c r="C55" s="348"/>
      <c r="D55" s="348"/>
      <c r="E55" s="348"/>
      <c r="F55" s="348"/>
      <c r="G55" s="348"/>
      <c r="H55" s="348"/>
      <c r="I55" s="348"/>
      <c r="J55" s="348"/>
      <c r="K55" s="348"/>
      <c r="L55" s="348"/>
    </row>
    <row r="56" spans="2:12" ht="58.5" customHeight="1">
      <c r="B56" s="347" t="s">
        <v>60</v>
      </c>
      <c r="C56" s="348"/>
      <c r="D56" s="348"/>
      <c r="E56" s="348"/>
      <c r="F56" s="348"/>
      <c r="G56" s="348"/>
      <c r="H56" s="348"/>
      <c r="I56" s="348"/>
      <c r="J56" s="348"/>
      <c r="K56" s="348"/>
      <c r="L56" s="348"/>
    </row>
    <row r="57" spans="2:12" ht="81" customHeight="1">
      <c r="B57" s="347" t="s">
        <v>61</v>
      </c>
      <c r="C57" s="348"/>
      <c r="D57" s="348"/>
      <c r="E57" s="348"/>
      <c r="F57" s="348"/>
      <c r="G57" s="348"/>
      <c r="H57" s="348"/>
      <c r="I57" s="348"/>
      <c r="J57" s="348"/>
      <c r="K57" s="348"/>
      <c r="L57" s="348"/>
    </row>
    <row r="58" spans="2:12" ht="30.75" customHeight="1">
      <c r="B58" s="347" t="s">
        <v>62</v>
      </c>
      <c r="C58" s="348"/>
      <c r="D58" s="348"/>
      <c r="E58" s="348"/>
      <c r="F58" s="348"/>
      <c r="G58" s="348"/>
      <c r="H58" s="348"/>
      <c r="I58" s="348"/>
      <c r="J58" s="348"/>
      <c r="K58" s="348"/>
      <c r="L58" s="348"/>
    </row>
  </sheetData>
  <mergeCells count="6">
    <mergeCell ref="B57:L57"/>
    <mergeCell ref="B58:L58"/>
    <mergeCell ref="B4:B5"/>
    <mergeCell ref="C4:C5"/>
    <mergeCell ref="B55:L55"/>
    <mergeCell ref="B56:L56"/>
  </mergeCells>
  <phoneticPr fontId="1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0"/>
  <sheetViews>
    <sheetView workbookViewId="0"/>
  </sheetViews>
  <sheetFormatPr defaultRowHeight="15"/>
  <cols>
    <col min="1" max="1" width="5.5" style="2" customWidth="1"/>
    <col min="2" max="2" width="19.83203125" style="2" bestFit="1" customWidth="1"/>
    <col min="3" max="3" width="14.33203125" style="2" bestFit="1" customWidth="1"/>
    <col min="4" max="4" width="12" style="2" bestFit="1" customWidth="1"/>
    <col min="5" max="9" width="14.33203125" style="2" bestFit="1" customWidth="1"/>
    <col min="10" max="10" width="13.33203125" style="2" bestFit="1" customWidth="1"/>
    <col min="11" max="13" width="12" style="2" bestFit="1" customWidth="1"/>
    <col min="14" max="14" width="14.33203125" style="2" bestFit="1" customWidth="1"/>
    <col min="15" max="15" width="12" style="2" bestFit="1" customWidth="1"/>
    <col min="16" max="16384" width="9.33203125" style="2"/>
  </cols>
  <sheetData>
    <row r="1" spans="2:22">
      <c r="B1" s="110"/>
    </row>
    <row r="2" spans="2:22">
      <c r="B2" s="4" t="s">
        <v>131</v>
      </c>
      <c r="C2" s="4"/>
      <c r="D2" s="4"/>
      <c r="E2" s="4"/>
      <c r="F2" s="4"/>
      <c r="G2" s="4"/>
      <c r="H2" s="4"/>
      <c r="I2" s="4"/>
      <c r="J2" s="4"/>
      <c r="K2" s="4"/>
      <c r="L2" s="4"/>
      <c r="M2" s="4"/>
    </row>
    <row r="3" spans="2:22" ht="15.75">
      <c r="B3" s="62" t="s">
        <v>132</v>
      </c>
      <c r="C3" s="4"/>
      <c r="D3" s="4"/>
      <c r="E3" s="4"/>
      <c r="F3" s="4"/>
      <c r="G3" s="4"/>
      <c r="H3" s="4"/>
      <c r="I3" s="4"/>
      <c r="J3" s="4"/>
      <c r="K3" s="4"/>
      <c r="L3" s="4"/>
      <c r="M3" s="4"/>
    </row>
    <row r="4" spans="2:22">
      <c r="B4" s="4" t="s">
        <v>567</v>
      </c>
      <c r="C4" s="4"/>
      <c r="D4" s="4"/>
      <c r="E4" s="4"/>
      <c r="F4" s="4"/>
      <c r="G4" s="4"/>
      <c r="H4" s="4"/>
      <c r="I4" s="4"/>
      <c r="J4" s="4"/>
      <c r="K4" s="4"/>
      <c r="L4" s="4"/>
      <c r="M4" s="4"/>
    </row>
    <row r="5" spans="2:22" ht="20.100000000000001" customHeight="1">
      <c r="B5" s="31" t="s">
        <v>133</v>
      </c>
      <c r="C5" s="32" t="s">
        <v>174</v>
      </c>
      <c r="D5" s="129" t="s">
        <v>552</v>
      </c>
      <c r="E5" s="130" t="s">
        <v>134</v>
      </c>
      <c r="F5" s="130" t="s">
        <v>135</v>
      </c>
      <c r="G5" s="130" t="s">
        <v>136</v>
      </c>
      <c r="H5" s="130" t="s">
        <v>137</v>
      </c>
      <c r="I5" s="130" t="s">
        <v>138</v>
      </c>
      <c r="J5" s="130" t="s">
        <v>139</v>
      </c>
      <c r="K5" s="130" t="s">
        <v>140</v>
      </c>
      <c r="L5" s="130" t="s">
        <v>141</v>
      </c>
      <c r="M5" s="194" t="s">
        <v>5</v>
      </c>
    </row>
    <row r="6" spans="2:22" ht="20.100000000000001" customHeight="1">
      <c r="B6" s="77" t="s">
        <v>156</v>
      </c>
      <c r="C6" s="78">
        <v>9895622</v>
      </c>
      <c r="D6" s="78">
        <v>112871</v>
      </c>
      <c r="E6" s="78">
        <f>459897+614368+651646</f>
        <v>1725911</v>
      </c>
      <c r="F6" s="78">
        <f>406419+279075+725829</f>
        <v>1411323</v>
      </c>
      <c r="G6" s="78">
        <f>594574+591507</f>
        <v>1186081</v>
      </c>
      <c r="H6" s="78">
        <f>562527+639994</f>
        <v>1202521</v>
      </c>
      <c r="I6" s="78">
        <v>1422014</v>
      </c>
      <c r="J6" s="251">
        <v>1347308</v>
      </c>
      <c r="K6" s="78">
        <v>835439</v>
      </c>
      <c r="L6" s="78">
        <v>443520</v>
      </c>
      <c r="M6" s="78">
        <v>208634</v>
      </c>
      <c r="O6" s="17"/>
      <c r="P6" s="17"/>
      <c r="Q6" s="17"/>
      <c r="R6" s="17"/>
      <c r="S6" s="17"/>
      <c r="T6" s="17"/>
      <c r="U6" s="17"/>
      <c r="V6" s="17"/>
    </row>
    <row r="7" spans="2:22" ht="12.75" customHeight="1">
      <c r="B7" s="195"/>
      <c r="C7" s="49"/>
      <c r="D7" s="49"/>
      <c r="E7" s="49"/>
      <c r="F7" s="49"/>
      <c r="G7" s="49"/>
      <c r="H7" s="49"/>
      <c r="I7" s="49"/>
      <c r="J7" s="84"/>
      <c r="K7" s="49"/>
      <c r="L7" s="49"/>
      <c r="M7" s="49"/>
      <c r="O7" s="17"/>
      <c r="P7" s="17"/>
      <c r="Q7" s="17"/>
      <c r="R7" s="17"/>
      <c r="S7" s="17"/>
      <c r="T7" s="17"/>
      <c r="U7" s="17"/>
      <c r="V7" s="17"/>
    </row>
    <row r="8" spans="2:22" ht="15" customHeight="1">
      <c r="B8" s="137" t="s">
        <v>332</v>
      </c>
      <c r="C8" s="49">
        <v>10578</v>
      </c>
      <c r="D8" s="49">
        <v>61</v>
      </c>
      <c r="E8" s="49">
        <f>253+369+435</f>
        <v>1057</v>
      </c>
      <c r="F8" s="49">
        <f>309+183+370</f>
        <v>862</v>
      </c>
      <c r="G8" s="49">
        <f>301+333</f>
        <v>634</v>
      </c>
      <c r="H8" s="49">
        <f>342+472</f>
        <v>814</v>
      </c>
      <c r="I8" s="49">
        <v>1464</v>
      </c>
      <c r="J8" s="84">
        <v>2067</v>
      </c>
      <c r="K8" s="49">
        <v>2144</v>
      </c>
      <c r="L8" s="49">
        <v>1121</v>
      </c>
      <c r="M8" s="49">
        <v>354</v>
      </c>
      <c r="N8" s="38"/>
    </row>
    <row r="9" spans="2:22" ht="15" customHeight="1">
      <c r="B9" s="137" t="s">
        <v>333</v>
      </c>
      <c r="C9" s="49">
        <v>9522</v>
      </c>
      <c r="D9" s="49">
        <v>51</v>
      </c>
      <c r="E9" s="49">
        <f>263+390+484</f>
        <v>1137</v>
      </c>
      <c r="F9" s="49">
        <f>284+173+471</f>
        <v>928</v>
      </c>
      <c r="G9" s="49">
        <f>517+547</f>
        <v>1064</v>
      </c>
      <c r="H9" s="49">
        <f>534+535</f>
        <v>1069</v>
      </c>
      <c r="I9" s="49">
        <v>1378</v>
      </c>
      <c r="J9" s="84">
        <v>1714</v>
      </c>
      <c r="K9" s="49">
        <v>1217</v>
      </c>
      <c r="L9" s="49">
        <v>698</v>
      </c>
      <c r="M9" s="49">
        <v>266</v>
      </c>
      <c r="N9" s="38"/>
    </row>
    <row r="10" spans="2:22" ht="15" customHeight="1">
      <c r="B10" s="137" t="s">
        <v>334</v>
      </c>
      <c r="C10" s="49">
        <v>112531</v>
      </c>
      <c r="D10" s="49">
        <v>1355</v>
      </c>
      <c r="E10" s="49">
        <f>5578+7870+8375</f>
        <v>21823</v>
      </c>
      <c r="F10" s="49">
        <f>5074+2623+6338</f>
        <v>14035</v>
      </c>
      <c r="G10" s="49">
        <f>5982+6470</f>
        <v>12452</v>
      </c>
      <c r="H10" s="49">
        <f>6384+7330</f>
        <v>13714</v>
      </c>
      <c r="I10" s="49">
        <v>17019</v>
      </c>
      <c r="J10" s="84">
        <v>15579</v>
      </c>
      <c r="K10" s="49">
        <v>9759</v>
      </c>
      <c r="L10" s="49">
        <v>4777</v>
      </c>
      <c r="M10" s="49">
        <v>2018</v>
      </c>
      <c r="N10" s="38"/>
    </row>
    <row r="11" spans="2:22" ht="15" customHeight="1">
      <c r="B11" s="137" t="s">
        <v>335</v>
      </c>
      <c r="C11" s="49">
        <v>29091</v>
      </c>
      <c r="D11" s="49">
        <v>269</v>
      </c>
      <c r="E11" s="49">
        <f>1101+1545+1749</f>
        <v>4395</v>
      </c>
      <c r="F11" s="49">
        <f>1041+633+1577</f>
        <v>3251</v>
      </c>
      <c r="G11" s="49">
        <f>1334+1565</f>
        <v>2899</v>
      </c>
      <c r="H11" s="49">
        <f>1426+1651</f>
        <v>3077</v>
      </c>
      <c r="I11" s="49">
        <v>4420</v>
      </c>
      <c r="J11" s="84">
        <v>4685</v>
      </c>
      <c r="K11" s="49">
        <v>3239</v>
      </c>
      <c r="L11" s="49">
        <v>2010</v>
      </c>
      <c r="M11" s="49">
        <v>846</v>
      </c>
      <c r="N11" s="38"/>
    </row>
    <row r="12" spans="2:22" ht="15" customHeight="1">
      <c r="B12" s="137" t="s">
        <v>336</v>
      </c>
      <c r="C12" s="49">
        <v>23370</v>
      </c>
      <c r="D12" s="49">
        <v>218</v>
      </c>
      <c r="E12" s="49">
        <f>829+1268+1381</f>
        <v>3478</v>
      </c>
      <c r="F12" s="49">
        <f>857+496+1027</f>
        <v>2380</v>
      </c>
      <c r="G12" s="49">
        <f>912+1085</f>
        <v>1997</v>
      </c>
      <c r="H12" s="49">
        <f>975+1260</f>
        <v>2235</v>
      </c>
      <c r="I12" s="49">
        <v>3357</v>
      </c>
      <c r="J12" s="84">
        <v>3931</v>
      </c>
      <c r="K12" s="49">
        <v>3375</v>
      </c>
      <c r="L12" s="49">
        <v>1751</v>
      </c>
      <c r="M12" s="49">
        <v>648</v>
      </c>
      <c r="N12" s="38"/>
    </row>
    <row r="13" spans="2:22" ht="12.75" customHeight="1">
      <c r="B13" s="137"/>
      <c r="C13" s="49"/>
      <c r="D13" s="49"/>
      <c r="E13" s="49"/>
      <c r="F13" s="49"/>
      <c r="G13" s="49"/>
      <c r="H13" s="49"/>
      <c r="I13" s="49"/>
      <c r="J13" s="84"/>
      <c r="K13" s="49"/>
      <c r="L13" s="49"/>
      <c r="M13" s="49"/>
      <c r="N13" s="38"/>
    </row>
    <row r="14" spans="2:22" ht="15" customHeight="1">
      <c r="B14" s="137" t="s">
        <v>337</v>
      </c>
      <c r="C14" s="49">
        <v>15487</v>
      </c>
      <c r="D14" s="49">
        <v>135</v>
      </c>
      <c r="E14" s="49">
        <f>533+800+858</f>
        <v>2191</v>
      </c>
      <c r="F14" s="49">
        <f>590+331+822</f>
        <v>1743</v>
      </c>
      <c r="G14" s="49">
        <f>666+785</f>
        <v>1451</v>
      </c>
      <c r="H14" s="49">
        <f>714+847</f>
        <v>1561</v>
      </c>
      <c r="I14" s="49">
        <v>2351</v>
      </c>
      <c r="J14" s="84">
        <v>2662</v>
      </c>
      <c r="K14" s="49">
        <v>1968</v>
      </c>
      <c r="L14" s="49">
        <v>1055</v>
      </c>
      <c r="M14" s="49">
        <v>370</v>
      </c>
      <c r="N14" s="38"/>
    </row>
    <row r="15" spans="2:22" ht="15" customHeight="1">
      <c r="B15" s="137" t="s">
        <v>338</v>
      </c>
      <c r="C15" s="49">
        <v>8695</v>
      </c>
      <c r="D15" s="49">
        <v>76</v>
      </c>
      <c r="E15" s="49">
        <f>306+458+490</f>
        <v>1254</v>
      </c>
      <c r="F15" s="49">
        <f>330+183+509</f>
        <v>1022</v>
      </c>
      <c r="G15" s="49">
        <f>503+534</f>
        <v>1037</v>
      </c>
      <c r="H15" s="49">
        <f>526+571</f>
        <v>1097</v>
      </c>
      <c r="I15" s="49">
        <v>1268</v>
      </c>
      <c r="J15" s="84">
        <v>1330</v>
      </c>
      <c r="K15" s="49">
        <v>965</v>
      </c>
      <c r="L15" s="49">
        <v>449</v>
      </c>
      <c r="M15" s="49">
        <v>197</v>
      </c>
      <c r="N15" s="38"/>
    </row>
    <row r="16" spans="2:22" ht="15" customHeight="1">
      <c r="B16" s="137" t="s">
        <v>339</v>
      </c>
      <c r="C16" s="49">
        <v>59097</v>
      </c>
      <c r="D16" s="49">
        <v>585</v>
      </c>
      <c r="E16" s="49">
        <f>2561+3792+4122</f>
        <v>10475</v>
      </c>
      <c r="F16" s="49">
        <f>2609+1498+3186</f>
        <v>7293</v>
      </c>
      <c r="G16" s="49">
        <f>2935+3151</f>
        <v>6086</v>
      </c>
      <c r="H16" s="49">
        <f>3280+3727</f>
        <v>7007</v>
      </c>
      <c r="I16" s="49">
        <v>9116</v>
      </c>
      <c r="J16" s="84">
        <v>8774</v>
      </c>
      <c r="K16" s="49">
        <v>5793</v>
      </c>
      <c r="L16" s="49">
        <v>2834</v>
      </c>
      <c r="M16" s="49">
        <v>1134</v>
      </c>
      <c r="N16" s="38"/>
    </row>
    <row r="17" spans="2:14" ht="15" customHeight="1">
      <c r="B17" s="137" t="s">
        <v>340</v>
      </c>
      <c r="C17" s="49">
        <v>106832</v>
      </c>
      <c r="D17" s="49">
        <v>1127</v>
      </c>
      <c r="E17" s="49">
        <f>4575+6362+6611</f>
        <v>17548</v>
      </c>
      <c r="F17" s="49">
        <f>4077+2225+6771</f>
        <v>13073</v>
      </c>
      <c r="G17" s="49">
        <f>6298+6239</f>
        <v>12537</v>
      </c>
      <c r="H17" s="49">
        <f>5905+6463</f>
        <v>12368</v>
      </c>
      <c r="I17" s="49">
        <v>15441</v>
      </c>
      <c r="J17" s="84">
        <v>15754</v>
      </c>
      <c r="K17" s="49">
        <v>10464</v>
      </c>
      <c r="L17" s="49">
        <v>5725</v>
      </c>
      <c r="M17" s="49">
        <v>2795</v>
      </c>
      <c r="N17" s="38"/>
    </row>
    <row r="18" spans="2:14" ht="15" customHeight="1">
      <c r="B18" s="137" t="s">
        <v>341</v>
      </c>
      <c r="C18" s="49">
        <v>17428</v>
      </c>
      <c r="D18" s="49">
        <v>140</v>
      </c>
      <c r="E18" s="49">
        <f>570+940+1061</f>
        <v>2571</v>
      </c>
      <c r="F18" s="49">
        <f>649+305+814</f>
        <v>1768</v>
      </c>
      <c r="G18" s="49">
        <f>760+836</f>
        <v>1596</v>
      </c>
      <c r="H18" s="49">
        <f>843+1024</f>
        <v>1867</v>
      </c>
      <c r="I18" s="49">
        <v>2593</v>
      </c>
      <c r="J18" s="84">
        <v>2790</v>
      </c>
      <c r="K18" s="49">
        <v>2379</v>
      </c>
      <c r="L18" s="49">
        <v>1212</v>
      </c>
      <c r="M18" s="49">
        <v>512</v>
      </c>
      <c r="N18" s="38"/>
    </row>
    <row r="19" spans="2:14" ht="12.75" customHeight="1">
      <c r="B19" s="83"/>
      <c r="C19" s="49"/>
      <c r="D19" s="49"/>
      <c r="E19" s="49"/>
      <c r="F19" s="49"/>
      <c r="G19" s="49"/>
      <c r="H19" s="49"/>
      <c r="I19" s="49"/>
      <c r="J19" s="84"/>
      <c r="K19" s="49"/>
      <c r="L19" s="49"/>
      <c r="M19" s="49"/>
      <c r="N19" s="38"/>
    </row>
    <row r="20" spans="2:14" ht="15" customHeight="1">
      <c r="B20" s="137" t="s">
        <v>342</v>
      </c>
      <c r="C20" s="49">
        <v>155252</v>
      </c>
      <c r="D20" s="49">
        <v>1839</v>
      </c>
      <c r="E20" s="49">
        <f>7721+9620+9920</f>
        <v>27261</v>
      </c>
      <c r="F20" s="49">
        <f>6157+3823+9518</f>
        <v>19498</v>
      </c>
      <c r="G20" s="49">
        <f>8572+8651</f>
        <v>17223</v>
      </c>
      <c r="H20" s="49">
        <f>8346+9584</f>
        <v>17930</v>
      </c>
      <c r="I20" s="49">
        <v>22228</v>
      </c>
      <c r="J20" s="84">
        <v>22210</v>
      </c>
      <c r="K20" s="49">
        <v>14727</v>
      </c>
      <c r="L20" s="49">
        <v>8369</v>
      </c>
      <c r="M20" s="49">
        <v>3967</v>
      </c>
      <c r="N20" s="38"/>
    </row>
    <row r="21" spans="2:14" ht="15" customHeight="1">
      <c r="B21" s="137" t="s">
        <v>343</v>
      </c>
      <c r="C21" s="49">
        <v>43649</v>
      </c>
      <c r="D21" s="49">
        <v>486</v>
      </c>
      <c r="E21" s="49">
        <f>2266+2971+2934</f>
        <v>8171</v>
      </c>
      <c r="F21" s="49">
        <f>1739+977+2499</f>
        <v>5215</v>
      </c>
      <c r="G21" s="49">
        <f>2539+2714</f>
        <v>5253</v>
      </c>
      <c r="H21" s="49">
        <f>2434+2801</f>
        <v>5235</v>
      </c>
      <c r="I21" s="49">
        <v>6188</v>
      </c>
      <c r="J21" s="84">
        <v>6020</v>
      </c>
      <c r="K21" s="49">
        <v>4054</v>
      </c>
      <c r="L21" s="49">
        <v>2242</v>
      </c>
      <c r="M21" s="49">
        <v>785</v>
      </c>
      <c r="N21" s="38"/>
    </row>
    <row r="22" spans="2:14" ht="15" customHeight="1">
      <c r="B22" s="137" t="s">
        <v>344</v>
      </c>
      <c r="C22" s="49">
        <v>135012</v>
      </c>
      <c r="D22" s="49">
        <v>1587</v>
      </c>
      <c r="E22" s="49">
        <f>6520+8828+8977</f>
        <v>24325</v>
      </c>
      <c r="F22" s="49">
        <f>5574+3754+9006</f>
        <v>18334</v>
      </c>
      <c r="G22" s="49">
        <f>7825+8094</f>
        <v>15919</v>
      </c>
      <c r="H22" s="49">
        <f>7511+8481</f>
        <v>15992</v>
      </c>
      <c r="I22" s="49">
        <v>18882</v>
      </c>
      <c r="J22" s="84">
        <v>18478</v>
      </c>
      <c r="K22" s="49">
        <v>11635</v>
      </c>
      <c r="L22" s="49">
        <v>6680</v>
      </c>
      <c r="M22" s="49">
        <v>3180</v>
      </c>
      <c r="N22" s="38"/>
    </row>
    <row r="23" spans="2:14" ht="15" customHeight="1">
      <c r="B23" s="137" t="s">
        <v>345</v>
      </c>
      <c r="C23" s="49">
        <v>51910</v>
      </c>
      <c r="D23" s="49">
        <v>515</v>
      </c>
      <c r="E23" s="49">
        <f>2114+3088+3426</f>
        <v>8628</v>
      </c>
      <c r="F23" s="49">
        <f>2200+1265+2820</f>
        <v>6285</v>
      </c>
      <c r="G23" s="49">
        <f>2384+2708</f>
        <v>5092</v>
      </c>
      <c r="H23" s="49">
        <f>2630+3364</f>
        <v>5994</v>
      </c>
      <c r="I23" s="49">
        <v>7712</v>
      </c>
      <c r="J23" s="84">
        <v>8019</v>
      </c>
      <c r="K23" s="49">
        <v>5960</v>
      </c>
      <c r="L23" s="49">
        <v>2649</v>
      </c>
      <c r="M23" s="49">
        <v>1056</v>
      </c>
      <c r="N23" s="38"/>
    </row>
    <row r="24" spans="2:14" ht="15" customHeight="1">
      <c r="B24" s="137" t="s">
        <v>346</v>
      </c>
      <c r="C24" s="49">
        <v>26129</v>
      </c>
      <c r="D24" s="49">
        <v>250</v>
      </c>
      <c r="E24" s="49">
        <f>996+1462+1670</f>
        <v>4128</v>
      </c>
      <c r="F24" s="49">
        <f>1029+543+1273</f>
        <v>2845</v>
      </c>
      <c r="G24" s="49">
        <f>1185+1320</f>
        <v>2505</v>
      </c>
      <c r="H24" s="49">
        <f>1200+1446</f>
        <v>2646</v>
      </c>
      <c r="I24" s="49">
        <v>3953</v>
      </c>
      <c r="J24" s="84">
        <v>4373</v>
      </c>
      <c r="K24" s="49">
        <v>3163</v>
      </c>
      <c r="L24" s="49">
        <v>1590</v>
      </c>
      <c r="M24" s="49">
        <v>676</v>
      </c>
      <c r="N24" s="38"/>
    </row>
    <row r="25" spans="2:14" ht="12.75" customHeight="1">
      <c r="B25" s="137"/>
      <c r="C25" s="49"/>
      <c r="D25" s="49"/>
      <c r="E25" s="49"/>
      <c r="F25" s="49"/>
      <c r="G25" s="49"/>
      <c r="H25" s="49"/>
      <c r="I25" s="49"/>
      <c r="J25" s="84"/>
      <c r="K25" s="49"/>
      <c r="L25" s="49"/>
      <c r="M25" s="49"/>
      <c r="N25" s="38"/>
    </row>
    <row r="26" spans="2:14" ht="15" customHeight="1">
      <c r="B26" s="137" t="s">
        <v>347</v>
      </c>
      <c r="C26" s="49">
        <v>25726</v>
      </c>
      <c r="D26" s="49">
        <v>209</v>
      </c>
      <c r="E26" s="49">
        <f>842+1298+1428</f>
        <v>3568</v>
      </c>
      <c r="F26" s="49">
        <f>951+521+1197</f>
        <v>2669</v>
      </c>
      <c r="G26" s="49">
        <f>1084+1157</f>
        <v>2241</v>
      </c>
      <c r="H26" s="49">
        <f>1232+1566</f>
        <v>2798</v>
      </c>
      <c r="I26" s="49">
        <v>3690</v>
      </c>
      <c r="J26" s="84">
        <v>4412</v>
      </c>
      <c r="K26" s="49">
        <v>3597</v>
      </c>
      <c r="L26" s="49">
        <v>1870</v>
      </c>
      <c r="M26" s="49">
        <v>672</v>
      </c>
      <c r="N26" s="38"/>
    </row>
    <row r="27" spans="2:14" ht="15" customHeight="1">
      <c r="B27" s="137" t="s">
        <v>348</v>
      </c>
      <c r="C27" s="49">
        <v>38696</v>
      </c>
      <c r="D27" s="49">
        <v>370</v>
      </c>
      <c r="E27" s="49">
        <f>1549+2014+2155</f>
        <v>5718</v>
      </c>
      <c r="F27" s="49">
        <f>1403+1132+3413</f>
        <v>5948</v>
      </c>
      <c r="G27" s="49">
        <f>2492+2519</f>
        <v>5011</v>
      </c>
      <c r="H27" s="49">
        <f>2466+2537</f>
        <v>5003</v>
      </c>
      <c r="I27" s="49">
        <v>5487</v>
      </c>
      <c r="J27" s="84">
        <v>5044</v>
      </c>
      <c r="K27" s="49">
        <v>3513</v>
      </c>
      <c r="L27" s="49">
        <v>1855</v>
      </c>
      <c r="M27" s="49">
        <v>747</v>
      </c>
      <c r="N27" s="38"/>
    </row>
    <row r="28" spans="2:14" ht="15" customHeight="1">
      <c r="B28" s="137" t="s">
        <v>349</v>
      </c>
      <c r="C28" s="49">
        <v>30569</v>
      </c>
      <c r="D28" s="49">
        <v>330</v>
      </c>
      <c r="E28" s="49">
        <f>1395+1652+1657</f>
        <v>4704</v>
      </c>
      <c r="F28" s="49">
        <f>1106+615+1633</f>
        <v>3354</v>
      </c>
      <c r="G28" s="49">
        <f>1577+1433</f>
        <v>3010</v>
      </c>
      <c r="H28" s="49">
        <f>1524+1685</f>
        <v>3209</v>
      </c>
      <c r="I28" s="49">
        <v>4416</v>
      </c>
      <c r="J28" s="84">
        <v>5021</v>
      </c>
      <c r="K28" s="49">
        <v>3941</v>
      </c>
      <c r="L28" s="49">
        <v>1978</v>
      </c>
      <c r="M28" s="49">
        <v>606</v>
      </c>
      <c r="N28" s="38"/>
    </row>
    <row r="29" spans="2:14" ht="15" customHeight="1">
      <c r="B29" s="137" t="s">
        <v>350</v>
      </c>
      <c r="C29" s="49">
        <v>76739</v>
      </c>
      <c r="D29" s="49">
        <v>710</v>
      </c>
      <c r="E29" s="49">
        <f>3347+5031+5342</f>
        <v>13720</v>
      </c>
      <c r="F29" s="49">
        <f>3429+1786+5458</f>
        <v>10673</v>
      </c>
      <c r="G29" s="49">
        <f>4395+4350</f>
        <v>8745</v>
      </c>
      <c r="H29" s="49">
        <f>4379+4988</f>
        <v>9367</v>
      </c>
      <c r="I29" s="49">
        <v>11592</v>
      </c>
      <c r="J29" s="84">
        <v>10544</v>
      </c>
      <c r="K29" s="49">
        <v>6621</v>
      </c>
      <c r="L29" s="49">
        <v>3322</v>
      </c>
      <c r="M29" s="49">
        <v>1445</v>
      </c>
      <c r="N29" s="38"/>
    </row>
    <row r="30" spans="2:14" ht="15" customHeight="1">
      <c r="B30" s="137" t="s">
        <v>351</v>
      </c>
      <c r="C30" s="49">
        <v>13904</v>
      </c>
      <c r="D30" s="49">
        <v>114</v>
      </c>
      <c r="E30" s="49">
        <f>468+721+788</f>
        <v>1977</v>
      </c>
      <c r="F30" s="49">
        <f>516+279+642</f>
        <v>1437</v>
      </c>
      <c r="G30" s="49">
        <f>594+655</f>
        <v>1249</v>
      </c>
      <c r="H30" s="49">
        <f>528+795</f>
        <v>1323</v>
      </c>
      <c r="I30" s="49">
        <v>2244</v>
      </c>
      <c r="J30" s="84">
        <v>2338</v>
      </c>
      <c r="K30" s="49">
        <v>1930</v>
      </c>
      <c r="L30" s="49">
        <v>953</v>
      </c>
      <c r="M30" s="49">
        <v>339</v>
      </c>
      <c r="N30" s="38"/>
    </row>
    <row r="31" spans="2:14" ht="12.75" customHeight="1">
      <c r="B31" s="83"/>
      <c r="C31" s="49"/>
      <c r="D31" s="49"/>
      <c r="E31" s="49"/>
      <c r="F31" s="49"/>
      <c r="G31" s="49"/>
      <c r="H31" s="49"/>
      <c r="I31" s="49"/>
      <c r="J31" s="84"/>
      <c r="K31" s="49"/>
      <c r="L31" s="49"/>
      <c r="M31" s="49"/>
      <c r="N31" s="38"/>
    </row>
    <row r="32" spans="2:14" ht="15" customHeight="1">
      <c r="B32" s="137" t="s">
        <v>352</v>
      </c>
      <c r="C32" s="49">
        <v>36905</v>
      </c>
      <c r="D32" s="49">
        <v>381</v>
      </c>
      <c r="E32" s="49">
        <f>1559+2016+2225</f>
        <v>5800</v>
      </c>
      <c r="F32" s="49">
        <f>1358+759+2004</f>
        <v>4121</v>
      </c>
      <c r="G32" s="49">
        <f>1660+1913</f>
        <v>3573</v>
      </c>
      <c r="H32" s="49">
        <f>1884+2092</f>
        <v>3976</v>
      </c>
      <c r="I32" s="49">
        <v>5268</v>
      </c>
      <c r="J32" s="84">
        <v>6178</v>
      </c>
      <c r="K32" s="49">
        <v>4034</v>
      </c>
      <c r="L32" s="49">
        <v>2479</v>
      </c>
      <c r="M32" s="49">
        <v>1095</v>
      </c>
      <c r="N32" s="38"/>
    </row>
    <row r="33" spans="2:14" ht="15" customHeight="1">
      <c r="B33" s="137" t="s">
        <v>353</v>
      </c>
      <c r="C33" s="49">
        <v>26098</v>
      </c>
      <c r="D33" s="49">
        <v>246</v>
      </c>
      <c r="E33" s="49">
        <f>994+1402+1561</f>
        <v>3957</v>
      </c>
      <c r="F33" s="49">
        <f>1026+592+1342</f>
        <v>2960</v>
      </c>
      <c r="G33" s="49">
        <f>1304+1443</f>
        <v>2747</v>
      </c>
      <c r="H33" s="49">
        <f>1226+1487</f>
        <v>2713</v>
      </c>
      <c r="I33" s="49">
        <v>4106</v>
      </c>
      <c r="J33" s="84">
        <v>4164</v>
      </c>
      <c r="K33" s="49">
        <v>2677</v>
      </c>
      <c r="L33" s="49">
        <v>1664</v>
      </c>
      <c r="M33" s="49">
        <v>864</v>
      </c>
      <c r="N33" s="38"/>
    </row>
    <row r="34" spans="2:14" ht="15" customHeight="1">
      <c r="B34" s="137" t="s">
        <v>354</v>
      </c>
      <c r="C34" s="49">
        <v>108348</v>
      </c>
      <c r="D34" s="49">
        <v>1152</v>
      </c>
      <c r="E34" s="49">
        <f>4761+6296+7248</f>
        <v>18305</v>
      </c>
      <c r="F34" s="49">
        <f>4608+2782+6876</f>
        <v>14266</v>
      </c>
      <c r="G34" s="49">
        <f>6734+6542</f>
        <v>13276</v>
      </c>
      <c r="H34" s="49">
        <f>6029+6704</f>
        <v>12733</v>
      </c>
      <c r="I34" s="49">
        <v>15836</v>
      </c>
      <c r="J34" s="84">
        <v>15709</v>
      </c>
      <c r="K34" s="49">
        <v>9975</v>
      </c>
      <c r="L34" s="49">
        <v>4899</v>
      </c>
      <c r="M34" s="49">
        <v>2197</v>
      </c>
      <c r="N34" s="38"/>
    </row>
    <row r="35" spans="2:14" ht="15" customHeight="1">
      <c r="B35" s="137" t="s">
        <v>355</v>
      </c>
      <c r="C35" s="49">
        <v>33140</v>
      </c>
      <c r="D35" s="49">
        <v>324</v>
      </c>
      <c r="E35" s="49">
        <f>1339+1880+2159</f>
        <v>5378</v>
      </c>
      <c r="F35" s="49">
        <f>1333+796+1817</f>
        <v>3946</v>
      </c>
      <c r="G35" s="49">
        <f>1776+1726</f>
        <v>3502</v>
      </c>
      <c r="H35" s="49">
        <f>1750+1971</f>
        <v>3721</v>
      </c>
      <c r="I35" s="49">
        <v>4678</v>
      </c>
      <c r="J35" s="84">
        <v>5354</v>
      </c>
      <c r="K35" s="49">
        <v>3441</v>
      </c>
      <c r="L35" s="49">
        <v>1863</v>
      </c>
      <c r="M35" s="49">
        <v>933</v>
      </c>
      <c r="N35" s="38"/>
    </row>
    <row r="36" spans="2:14" ht="15" customHeight="1">
      <c r="B36" s="137" t="s">
        <v>356</v>
      </c>
      <c r="C36" s="49">
        <v>415376</v>
      </c>
      <c r="D36" s="49">
        <v>4826</v>
      </c>
      <c r="E36" s="49">
        <f>20214+27044+28645</f>
        <v>75903</v>
      </c>
      <c r="F36" s="49">
        <f>17777+10586+27757</f>
        <v>56120</v>
      </c>
      <c r="G36" s="49">
        <f>23529+24593</f>
        <v>48122</v>
      </c>
      <c r="H36" s="49">
        <f>23775+27312</f>
        <v>51087</v>
      </c>
      <c r="I36" s="49">
        <v>59674</v>
      </c>
      <c r="J36" s="84">
        <v>56385</v>
      </c>
      <c r="K36" s="49">
        <v>35067</v>
      </c>
      <c r="L36" s="49">
        <v>19935</v>
      </c>
      <c r="M36" s="49">
        <v>8257</v>
      </c>
      <c r="N36" s="38"/>
    </row>
    <row r="37" spans="2:14" ht="12.75" customHeight="1">
      <c r="B37" s="137"/>
      <c r="C37" s="49"/>
      <c r="D37" s="49"/>
      <c r="E37" s="49"/>
      <c r="F37" s="49"/>
      <c r="G37" s="49"/>
      <c r="H37" s="49"/>
      <c r="I37" s="49"/>
      <c r="J37" s="84"/>
      <c r="K37" s="49"/>
      <c r="L37" s="49"/>
      <c r="M37" s="49"/>
      <c r="N37" s="38"/>
    </row>
    <row r="38" spans="2:14" ht="15" customHeight="1">
      <c r="B38" s="137" t="s">
        <v>357</v>
      </c>
      <c r="C38" s="49">
        <v>25493</v>
      </c>
      <c r="D38" s="49">
        <v>212</v>
      </c>
      <c r="E38" s="49">
        <f>961+1253+1548</f>
        <v>3762</v>
      </c>
      <c r="F38" s="49">
        <f>971+499+1224</f>
        <v>2694</v>
      </c>
      <c r="G38" s="49">
        <f>1092+1125</f>
        <v>2217</v>
      </c>
      <c r="H38" s="49">
        <f>1160+1468</f>
        <v>2628</v>
      </c>
      <c r="I38" s="49">
        <v>3545</v>
      </c>
      <c r="J38" s="84">
        <v>4200</v>
      </c>
      <c r="K38" s="49">
        <v>3689</v>
      </c>
      <c r="L38" s="49">
        <v>1912</v>
      </c>
      <c r="M38" s="49">
        <v>634</v>
      </c>
      <c r="N38" s="38"/>
    </row>
    <row r="39" spans="2:14" ht="15" customHeight="1">
      <c r="B39" s="137" t="s">
        <v>358</v>
      </c>
      <c r="C39" s="49">
        <v>15916</v>
      </c>
      <c r="D39" s="49">
        <v>125</v>
      </c>
      <c r="E39" s="49">
        <f>516+719+700</f>
        <v>1935</v>
      </c>
      <c r="F39" s="49">
        <f>516+349+980</f>
        <v>1845</v>
      </c>
      <c r="G39" s="49">
        <f>879+867</f>
        <v>1746</v>
      </c>
      <c r="H39" s="49">
        <f>793+975</f>
        <v>1768</v>
      </c>
      <c r="I39" s="49">
        <v>2325</v>
      </c>
      <c r="J39" s="84">
        <v>2614</v>
      </c>
      <c r="K39" s="49">
        <v>1853</v>
      </c>
      <c r="L39" s="49">
        <v>1101</v>
      </c>
      <c r="M39" s="49">
        <v>604</v>
      </c>
      <c r="N39" s="38"/>
    </row>
    <row r="40" spans="2:14" ht="15" customHeight="1">
      <c r="B40" s="137" t="s">
        <v>359</v>
      </c>
      <c r="C40" s="49">
        <v>89987</v>
      </c>
      <c r="D40" s="49">
        <v>906</v>
      </c>
      <c r="E40" s="49">
        <f>3928+5306+5531</f>
        <v>14765</v>
      </c>
      <c r="F40" s="49">
        <f>3386+1965+5345</f>
        <v>10696</v>
      </c>
      <c r="G40" s="49">
        <f>5564+5853</f>
        <v>11417</v>
      </c>
      <c r="H40" s="49">
        <f>5125+5729</f>
        <v>10854</v>
      </c>
      <c r="I40" s="49">
        <v>13101</v>
      </c>
      <c r="J40" s="84">
        <v>13420</v>
      </c>
      <c r="K40" s="49">
        <v>8361</v>
      </c>
      <c r="L40" s="49">
        <v>4341</v>
      </c>
      <c r="M40" s="49">
        <v>2126</v>
      </c>
      <c r="N40" s="38"/>
    </row>
    <row r="41" spans="2:14" ht="15" customHeight="1">
      <c r="B41" s="137" t="s">
        <v>360</v>
      </c>
      <c r="C41" s="49">
        <v>41968</v>
      </c>
      <c r="D41" s="49">
        <v>431</v>
      </c>
      <c r="E41" s="49">
        <f>1780+2275+2601</f>
        <v>6656</v>
      </c>
      <c r="F41" s="49">
        <f>1548+1454+3385</f>
        <v>6387</v>
      </c>
      <c r="G41" s="49">
        <f>2642+2674</f>
        <v>5316</v>
      </c>
      <c r="H41" s="49">
        <f>2559+2775</f>
        <v>5334</v>
      </c>
      <c r="I41" s="49">
        <v>6020</v>
      </c>
      <c r="J41" s="84">
        <v>5139</v>
      </c>
      <c r="K41" s="49">
        <v>3520</v>
      </c>
      <c r="L41" s="49">
        <v>2039</v>
      </c>
      <c r="M41" s="49">
        <v>1126</v>
      </c>
      <c r="N41" s="38"/>
    </row>
    <row r="42" spans="2:14" ht="15" customHeight="1">
      <c r="B42" s="137" t="s">
        <v>361</v>
      </c>
      <c r="C42" s="49">
        <v>46101</v>
      </c>
      <c r="D42" s="49">
        <v>505</v>
      </c>
      <c r="E42" s="49">
        <f>2026+2878+3057</f>
        <v>7961</v>
      </c>
      <c r="F42" s="49">
        <f>1920+1430+3081</f>
        <v>6431</v>
      </c>
      <c r="G42" s="49">
        <f>2355+2427</f>
        <v>4782</v>
      </c>
      <c r="H42" s="49">
        <f>2420+2811</f>
        <v>5231</v>
      </c>
      <c r="I42" s="49">
        <v>6493</v>
      </c>
      <c r="J42" s="84">
        <v>6774</v>
      </c>
      <c r="K42" s="49">
        <v>4610</v>
      </c>
      <c r="L42" s="49">
        <v>2370</v>
      </c>
      <c r="M42" s="49">
        <v>944</v>
      </c>
      <c r="N42" s="38"/>
    </row>
    <row r="43" spans="2:14" ht="12.75" customHeight="1">
      <c r="B43" s="137"/>
      <c r="C43" s="49"/>
      <c r="D43" s="49"/>
      <c r="E43" s="49"/>
      <c r="F43" s="49"/>
      <c r="G43" s="49"/>
      <c r="H43" s="49"/>
      <c r="I43" s="49"/>
      <c r="J43" s="84"/>
      <c r="K43" s="49"/>
      <c r="L43" s="49"/>
      <c r="M43" s="49"/>
      <c r="N43" s="38"/>
    </row>
    <row r="44" spans="2:14" ht="15" customHeight="1">
      <c r="B44" s="137" t="s">
        <v>362</v>
      </c>
      <c r="C44" s="49">
        <v>36225</v>
      </c>
      <c r="D44" s="49">
        <v>358</v>
      </c>
      <c r="E44" s="49">
        <f>1563+2158+2081</f>
        <v>5802</v>
      </c>
      <c r="F44" s="49">
        <f>1271+2158+5327</f>
        <v>8756</v>
      </c>
      <c r="G44" s="49">
        <f>1908+1873</f>
        <v>3781</v>
      </c>
      <c r="H44" s="49">
        <f>1663+1693</f>
        <v>3356</v>
      </c>
      <c r="I44" s="49">
        <v>3995</v>
      </c>
      <c r="J44" s="84">
        <v>4369</v>
      </c>
      <c r="K44" s="49">
        <v>3204</v>
      </c>
      <c r="L44" s="49">
        <v>1726</v>
      </c>
      <c r="M44" s="49">
        <v>878</v>
      </c>
      <c r="N44" s="38"/>
    </row>
    <row r="45" spans="2:14" ht="15" customHeight="1">
      <c r="B45" s="137" t="s">
        <v>363</v>
      </c>
      <c r="C45" s="49">
        <v>32224</v>
      </c>
      <c r="D45" s="49">
        <v>262</v>
      </c>
      <c r="E45" s="49">
        <f>1228+1653+1918</f>
        <v>4799</v>
      </c>
      <c r="F45" s="49">
        <f>1264+694+1574</f>
        <v>3532</v>
      </c>
      <c r="G45" s="49">
        <f>1454+1564</f>
        <v>3018</v>
      </c>
      <c r="H45" s="49">
        <f>1438+1838</f>
        <v>3276</v>
      </c>
      <c r="I45" s="49">
        <v>4678</v>
      </c>
      <c r="J45" s="84">
        <v>5275</v>
      </c>
      <c r="K45" s="49">
        <v>3908</v>
      </c>
      <c r="L45" s="49">
        <v>2377</v>
      </c>
      <c r="M45" s="49">
        <v>1099</v>
      </c>
      <c r="N45" s="38"/>
    </row>
    <row r="46" spans="2:14" ht="15" customHeight="1">
      <c r="B46" s="137" t="s">
        <v>364</v>
      </c>
      <c r="C46" s="49">
        <v>282234</v>
      </c>
      <c r="D46" s="49">
        <v>3328</v>
      </c>
      <c r="E46" s="49">
        <f>12738+15874+15743</f>
        <v>44355</v>
      </c>
      <c r="F46" s="49">
        <f>9833+16023+40856</f>
        <v>66712</v>
      </c>
      <c r="G46" s="49">
        <f>19962+18423</f>
        <v>38385</v>
      </c>
      <c r="H46" s="49">
        <f>15115+15499</f>
        <v>30614</v>
      </c>
      <c r="I46" s="49">
        <v>32963</v>
      </c>
      <c r="J46" s="84">
        <v>33223</v>
      </c>
      <c r="K46" s="49">
        <v>18733</v>
      </c>
      <c r="L46" s="49">
        <v>9230</v>
      </c>
      <c r="M46" s="49">
        <v>4691</v>
      </c>
      <c r="N46" s="38"/>
    </row>
    <row r="47" spans="2:14" ht="15" customHeight="1">
      <c r="B47" s="137" t="s">
        <v>365</v>
      </c>
      <c r="C47" s="49">
        <v>64073</v>
      </c>
      <c r="D47" s="49">
        <v>729</v>
      </c>
      <c r="E47" s="49">
        <f>2997+4274+4300</f>
        <v>11571</v>
      </c>
      <c r="F47" s="49">
        <f>2718+1662+4418</f>
        <v>8798</v>
      </c>
      <c r="G47" s="49">
        <f>4232+4358</f>
        <v>8590</v>
      </c>
      <c r="H47" s="49">
        <f>4147+4616</f>
        <v>8763</v>
      </c>
      <c r="I47" s="49">
        <v>9384</v>
      </c>
      <c r="J47" s="84">
        <v>8102</v>
      </c>
      <c r="K47" s="49">
        <v>4837</v>
      </c>
      <c r="L47" s="49">
        <v>2418</v>
      </c>
      <c r="M47" s="49">
        <v>881</v>
      </c>
      <c r="N47" s="38"/>
    </row>
    <row r="48" spans="2:14" ht="15" customHeight="1">
      <c r="B48" s="137" t="s">
        <v>366</v>
      </c>
      <c r="C48" s="49">
        <v>25429</v>
      </c>
      <c r="D48" s="49">
        <v>237</v>
      </c>
      <c r="E48" s="49">
        <f>885+1155+1269</f>
        <v>3309</v>
      </c>
      <c r="F48" s="49">
        <f>814+421+1110</f>
        <v>2345</v>
      </c>
      <c r="G48" s="49">
        <f>1140+1075</f>
        <v>2215</v>
      </c>
      <c r="H48" s="49">
        <f>1014+1259</f>
        <v>2273</v>
      </c>
      <c r="I48" s="49">
        <v>3555</v>
      </c>
      <c r="J48" s="84">
        <v>4503</v>
      </c>
      <c r="K48" s="49">
        <v>3926</v>
      </c>
      <c r="L48" s="49">
        <v>2266</v>
      </c>
      <c r="M48" s="49">
        <v>800</v>
      </c>
      <c r="N48" s="38"/>
    </row>
    <row r="49" spans="2:14" ht="12.75" customHeight="1">
      <c r="B49" s="137"/>
      <c r="C49" s="49"/>
      <c r="D49" s="49"/>
      <c r="E49" s="49"/>
      <c r="F49" s="49"/>
      <c r="G49" s="49"/>
      <c r="H49" s="49"/>
      <c r="I49" s="49"/>
      <c r="J49" s="84"/>
      <c r="K49" s="49"/>
      <c r="L49" s="49"/>
      <c r="M49" s="49"/>
      <c r="N49" s="38"/>
    </row>
    <row r="50" spans="2:14" ht="15" customHeight="1">
      <c r="B50" s="137" t="s">
        <v>367</v>
      </c>
      <c r="C50" s="49">
        <v>11516</v>
      </c>
      <c r="D50" s="49">
        <v>91</v>
      </c>
      <c r="E50" s="49">
        <f>397+500+571</f>
        <v>1468</v>
      </c>
      <c r="F50" s="49">
        <f>369+218+446</f>
        <v>1033</v>
      </c>
      <c r="G50" s="49">
        <f>422+502</f>
        <v>924</v>
      </c>
      <c r="H50" s="49">
        <f>469+524</f>
        <v>993</v>
      </c>
      <c r="I50" s="49">
        <v>1579</v>
      </c>
      <c r="J50" s="84">
        <v>2218</v>
      </c>
      <c r="K50" s="49">
        <v>1648</v>
      </c>
      <c r="L50" s="49">
        <v>968</v>
      </c>
      <c r="M50" s="49">
        <v>594</v>
      </c>
      <c r="N50" s="38"/>
    </row>
    <row r="51" spans="2:14" ht="15" customHeight="1">
      <c r="B51" s="137" t="s">
        <v>368</v>
      </c>
      <c r="C51" s="49">
        <v>70436</v>
      </c>
      <c r="D51" s="49">
        <v>646</v>
      </c>
      <c r="E51" s="49">
        <f>2719+3465+3482</f>
        <v>9666</v>
      </c>
      <c r="F51" s="49">
        <f>1955+6172+15291</f>
        <v>23418</v>
      </c>
      <c r="G51" s="49">
        <f>4674+3766</f>
        <v>8440</v>
      </c>
      <c r="H51" s="49">
        <f>3158+3218</f>
        <v>6376</v>
      </c>
      <c r="I51" s="49">
        <v>7291</v>
      </c>
      <c r="J51" s="84">
        <v>7107</v>
      </c>
      <c r="K51" s="49">
        <v>4230</v>
      </c>
      <c r="L51" s="49">
        <v>2232</v>
      </c>
      <c r="M51" s="49">
        <v>1030</v>
      </c>
      <c r="N51" s="38"/>
    </row>
    <row r="52" spans="2:14" ht="15" customHeight="1">
      <c r="B52" s="137" t="s">
        <v>369</v>
      </c>
      <c r="C52" s="49">
        <v>160369</v>
      </c>
      <c r="D52" s="49">
        <v>1815</v>
      </c>
      <c r="E52" s="49">
        <f>7185+9883+10455</f>
        <v>27523</v>
      </c>
      <c r="F52" s="49">
        <f>6614+4239+10898</f>
        <v>21751</v>
      </c>
      <c r="G52" s="49">
        <f>9340+9474</f>
        <v>18814</v>
      </c>
      <c r="H52" s="49">
        <f>9181+10698</f>
        <v>19879</v>
      </c>
      <c r="I52" s="49">
        <v>23603</v>
      </c>
      <c r="J52" s="84">
        <v>22148</v>
      </c>
      <c r="K52" s="49">
        <v>13828</v>
      </c>
      <c r="L52" s="49">
        <v>7495</v>
      </c>
      <c r="M52" s="49">
        <v>3513</v>
      </c>
      <c r="N52" s="38"/>
    </row>
    <row r="53" spans="2:14" ht="15" customHeight="1">
      <c r="B53" s="137" t="s">
        <v>370</v>
      </c>
      <c r="C53" s="49">
        <v>256725</v>
      </c>
      <c r="D53" s="49">
        <v>3041</v>
      </c>
      <c r="E53" s="49">
        <f>12104+15999+16041</f>
        <v>44144</v>
      </c>
      <c r="F53" s="49">
        <f>9700+9104+32257</f>
        <v>51061</v>
      </c>
      <c r="G53" s="49">
        <f>16921+16506</f>
        <v>33427</v>
      </c>
      <c r="H53" s="49">
        <f>14339+15013</f>
        <v>29352</v>
      </c>
      <c r="I53" s="49">
        <v>31172</v>
      </c>
      <c r="J53" s="84">
        <v>30690</v>
      </c>
      <c r="K53" s="49">
        <v>18649</v>
      </c>
      <c r="L53" s="49">
        <v>10101</v>
      </c>
      <c r="M53" s="49">
        <v>5088</v>
      </c>
      <c r="N53" s="38"/>
    </row>
    <row r="54" spans="2:14" ht="15" customHeight="1">
      <c r="B54" s="137" t="s">
        <v>371</v>
      </c>
      <c r="C54" s="49">
        <v>17196</v>
      </c>
      <c r="D54" s="49">
        <v>147</v>
      </c>
      <c r="E54" s="49">
        <f>774+1054+1109</f>
        <v>2937</v>
      </c>
      <c r="F54" s="49">
        <f>622+373+863</f>
        <v>1858</v>
      </c>
      <c r="G54" s="49">
        <f>915+928</f>
        <v>1843</v>
      </c>
      <c r="H54" s="49">
        <f>920+1053</f>
        <v>1973</v>
      </c>
      <c r="I54" s="49">
        <v>2552</v>
      </c>
      <c r="J54" s="84">
        <v>2691</v>
      </c>
      <c r="K54" s="49">
        <v>2013</v>
      </c>
      <c r="L54" s="49">
        <v>913</v>
      </c>
      <c r="M54" s="49">
        <v>269</v>
      </c>
      <c r="N54" s="38"/>
    </row>
    <row r="55" spans="2:14">
      <c r="B55" s="11"/>
      <c r="C55" s="11"/>
      <c r="D55" s="11"/>
      <c r="E55" s="11"/>
      <c r="F55" s="11"/>
      <c r="G55" s="11"/>
      <c r="H55" s="11"/>
      <c r="I55" s="11"/>
      <c r="J55" s="84"/>
      <c r="K55" s="11"/>
      <c r="L55" s="11"/>
      <c r="M55" s="11"/>
      <c r="N55" s="38"/>
    </row>
    <row r="56" spans="2:14">
      <c r="B56" s="137" t="s">
        <v>372</v>
      </c>
      <c r="C56" s="49">
        <v>621700</v>
      </c>
      <c r="D56" s="49">
        <v>8873</v>
      </c>
      <c r="E56" s="49">
        <f>34875+44381+43558</f>
        <v>122814</v>
      </c>
      <c r="F56" s="49">
        <f>26144+16586+45438</f>
        <v>88168</v>
      </c>
      <c r="G56" s="49">
        <f>48392+44085</f>
        <v>92477</v>
      </c>
      <c r="H56" s="49">
        <f>37674+39175</f>
        <v>76849</v>
      </c>
      <c r="I56" s="49">
        <v>84139</v>
      </c>
      <c r="J56" s="84">
        <v>74197</v>
      </c>
      <c r="K56" s="49">
        <v>40316</v>
      </c>
      <c r="L56" s="49">
        <v>22317</v>
      </c>
      <c r="M56" s="49">
        <v>11550</v>
      </c>
      <c r="N56" s="38"/>
    </row>
    <row r="57" spans="2:14">
      <c r="B57" s="137" t="s">
        <v>373</v>
      </c>
      <c r="C57" s="49">
        <v>2191</v>
      </c>
      <c r="D57" s="49">
        <v>22</v>
      </c>
      <c r="E57" s="49">
        <f>74+100+124</f>
        <v>298</v>
      </c>
      <c r="F57" s="49">
        <f>68+29+73</f>
        <v>170</v>
      </c>
      <c r="G57" s="49">
        <f>69+90</f>
        <v>159</v>
      </c>
      <c r="H57" s="49">
        <f>102+96</f>
        <v>198</v>
      </c>
      <c r="I57" s="49">
        <v>275</v>
      </c>
      <c r="J57" s="84">
        <v>416</v>
      </c>
      <c r="K57" s="49">
        <v>403</v>
      </c>
      <c r="L57" s="49">
        <v>199</v>
      </c>
      <c r="M57" s="49">
        <v>51</v>
      </c>
      <c r="N57" s="38"/>
    </row>
    <row r="58" spans="2:14">
      <c r="B58" s="137" t="s">
        <v>374</v>
      </c>
      <c r="C58" s="49">
        <v>11386</v>
      </c>
      <c r="D58" s="49">
        <v>96</v>
      </c>
      <c r="E58" s="49">
        <f>316+574+562</f>
        <v>1452</v>
      </c>
      <c r="F58" s="49">
        <f>405+198+425</f>
        <v>1028</v>
      </c>
      <c r="G58" s="49">
        <f>458+492</f>
        <v>950</v>
      </c>
      <c r="H58" s="49">
        <f>457+650</f>
        <v>1107</v>
      </c>
      <c r="I58" s="49">
        <v>1658</v>
      </c>
      <c r="J58" s="84">
        <v>2146</v>
      </c>
      <c r="K58" s="49">
        <v>1821</v>
      </c>
      <c r="L58" s="49">
        <v>886</v>
      </c>
      <c r="M58" s="49">
        <v>242</v>
      </c>
      <c r="N58" s="38"/>
    </row>
    <row r="59" spans="2:14">
      <c r="B59" s="137" t="s">
        <v>375</v>
      </c>
      <c r="C59" s="49">
        <v>88389</v>
      </c>
      <c r="D59" s="49">
        <v>832</v>
      </c>
      <c r="E59" s="49">
        <f>3455+5308+6147</f>
        <v>14910</v>
      </c>
      <c r="F59" s="49">
        <f>4139+2322+5110</f>
        <v>11571</v>
      </c>
      <c r="G59" s="49">
        <f>4158+4511</f>
        <v>8669</v>
      </c>
      <c r="H59" s="49">
        <f>4675+5906</f>
        <v>10581</v>
      </c>
      <c r="I59" s="49">
        <v>14818</v>
      </c>
      <c r="J59" s="84">
        <v>13444</v>
      </c>
      <c r="K59" s="49">
        <v>8343</v>
      </c>
      <c r="L59" s="49">
        <v>3791</v>
      </c>
      <c r="M59" s="49">
        <v>1430</v>
      </c>
      <c r="N59" s="38"/>
    </row>
    <row r="60" spans="2:14">
      <c r="B60" s="137" t="s">
        <v>376</v>
      </c>
      <c r="C60" s="49">
        <v>21747</v>
      </c>
      <c r="D60" s="49">
        <v>190</v>
      </c>
      <c r="E60" s="49">
        <f>655+1014+1132</f>
        <v>2801</v>
      </c>
      <c r="F60" s="49">
        <f>796+452+1003</f>
        <v>2251</v>
      </c>
      <c r="G60" s="49">
        <f>837+867</f>
        <v>1704</v>
      </c>
      <c r="H60" s="49">
        <f>832+1013</f>
        <v>1845</v>
      </c>
      <c r="I60" s="49">
        <v>2916</v>
      </c>
      <c r="J60" s="84">
        <v>4121</v>
      </c>
      <c r="K60" s="49">
        <v>3261</v>
      </c>
      <c r="L60" s="49">
        <v>1810</v>
      </c>
      <c r="M60" s="49">
        <v>848</v>
      </c>
      <c r="N60" s="38"/>
    </row>
    <row r="61" spans="2:14">
      <c r="B61" s="137"/>
      <c r="C61" s="49"/>
      <c r="D61" s="49"/>
      <c r="E61" s="49"/>
      <c r="F61" s="49"/>
      <c r="G61" s="49"/>
      <c r="H61" s="49"/>
      <c r="I61" s="49"/>
      <c r="J61" s="84"/>
      <c r="K61" s="49"/>
      <c r="L61" s="49"/>
      <c r="M61" s="49"/>
      <c r="N61" s="38"/>
    </row>
    <row r="62" spans="2:14">
      <c r="B62" s="137" t="s">
        <v>377</v>
      </c>
      <c r="C62" s="49">
        <v>99188</v>
      </c>
      <c r="D62" s="49">
        <v>1076</v>
      </c>
      <c r="E62" s="49">
        <f>4484+5976+6359</f>
        <v>16819</v>
      </c>
      <c r="F62" s="49">
        <f>4060+2921+6614</f>
        <v>13595</v>
      </c>
      <c r="G62" s="49">
        <f>5344+5697</f>
        <v>11041</v>
      </c>
      <c r="H62" s="49">
        <f>5603+6615</f>
        <v>12218</v>
      </c>
      <c r="I62" s="49">
        <v>14196</v>
      </c>
      <c r="J62" s="84">
        <v>14165</v>
      </c>
      <c r="K62" s="49">
        <v>9212</v>
      </c>
      <c r="L62" s="49">
        <v>4734</v>
      </c>
      <c r="M62" s="49">
        <v>2132</v>
      </c>
      <c r="N62" s="38"/>
    </row>
    <row r="63" spans="2:14">
      <c r="B63" s="137" t="s">
        <v>378</v>
      </c>
      <c r="C63" s="49">
        <v>184443</v>
      </c>
      <c r="D63" s="49">
        <v>1703</v>
      </c>
      <c r="E63" s="49">
        <f>7624+11452+13936</f>
        <v>33012</v>
      </c>
      <c r="F63" s="49">
        <f>8909+4697+9949</f>
        <v>23555</v>
      </c>
      <c r="G63" s="49">
        <f>8791+9527</f>
        <v>18318</v>
      </c>
      <c r="H63" s="49">
        <f>9961+13205</f>
        <v>23166</v>
      </c>
      <c r="I63" s="49">
        <v>31862</v>
      </c>
      <c r="J63" s="84">
        <v>26891</v>
      </c>
      <c r="K63" s="49">
        <v>16155</v>
      </c>
      <c r="L63" s="49">
        <v>6763</v>
      </c>
      <c r="M63" s="49">
        <v>3018</v>
      </c>
      <c r="N63" s="38"/>
    </row>
    <row r="64" spans="2:14">
      <c r="B64" s="137" t="s">
        <v>379</v>
      </c>
      <c r="C64" s="49">
        <v>6502</v>
      </c>
      <c r="D64" s="49">
        <v>56</v>
      </c>
      <c r="E64" s="49">
        <f>234+314+302</f>
        <v>850</v>
      </c>
      <c r="F64" s="49">
        <f>214+135+369</f>
        <v>718</v>
      </c>
      <c r="G64" s="49">
        <f>371+463</f>
        <v>834</v>
      </c>
      <c r="H64" s="49">
        <f>421+460</f>
        <v>881</v>
      </c>
      <c r="I64" s="49">
        <v>925</v>
      </c>
      <c r="J64" s="84">
        <v>963</v>
      </c>
      <c r="K64" s="49">
        <v>721</v>
      </c>
      <c r="L64" s="49">
        <v>406</v>
      </c>
      <c r="M64" s="49">
        <v>148</v>
      </c>
      <c r="N64" s="38"/>
    </row>
    <row r="65" spans="2:14">
      <c r="B65" s="137" t="s">
        <v>380</v>
      </c>
      <c r="C65" s="49">
        <v>11061</v>
      </c>
      <c r="D65" s="49">
        <v>72</v>
      </c>
      <c r="E65" s="49">
        <f>333+527+572</f>
        <v>1432</v>
      </c>
      <c r="F65" s="49">
        <f>375+235+471</f>
        <v>1081</v>
      </c>
      <c r="G65" s="49">
        <f>428+470</f>
        <v>898</v>
      </c>
      <c r="H65" s="49">
        <f>549+631</f>
        <v>1180</v>
      </c>
      <c r="I65" s="49">
        <v>1654</v>
      </c>
      <c r="J65" s="84">
        <v>1990</v>
      </c>
      <c r="K65" s="49">
        <v>1581</v>
      </c>
      <c r="L65" s="49">
        <v>861</v>
      </c>
      <c r="M65" s="49">
        <v>312</v>
      </c>
      <c r="N65" s="38"/>
    </row>
    <row r="66" spans="2:14">
      <c r="B66" s="137" t="s">
        <v>381</v>
      </c>
      <c r="C66" s="49">
        <v>854769</v>
      </c>
      <c r="D66" s="49">
        <v>8976</v>
      </c>
      <c r="E66" s="49">
        <f>37372+51571+55944</f>
        <v>144887</v>
      </c>
      <c r="F66" s="49">
        <f>35305+19123+54178</f>
        <v>108606</v>
      </c>
      <c r="G66" s="49">
        <f>52452+51800</f>
        <v>104252</v>
      </c>
      <c r="H66" s="49">
        <f>51600+60184</f>
        <v>111784</v>
      </c>
      <c r="I66" s="49">
        <v>130738</v>
      </c>
      <c r="J66" s="84">
        <v>115015</v>
      </c>
      <c r="K66" s="49">
        <v>70738</v>
      </c>
      <c r="L66" s="49">
        <v>39941</v>
      </c>
      <c r="M66" s="49">
        <v>19832</v>
      </c>
      <c r="N66" s="38"/>
    </row>
    <row r="67" spans="2:14">
      <c r="B67" s="137"/>
      <c r="C67" s="49"/>
      <c r="D67" s="49"/>
      <c r="E67" s="49"/>
      <c r="F67" s="49"/>
      <c r="G67" s="49"/>
      <c r="H67" s="49"/>
      <c r="I67" s="49"/>
      <c r="J67" s="84"/>
      <c r="K67" s="49"/>
      <c r="L67" s="49"/>
      <c r="M67" s="49"/>
      <c r="N67" s="38"/>
    </row>
    <row r="68" spans="2:14">
      <c r="B68" s="137" t="s">
        <v>382</v>
      </c>
      <c r="C68" s="49">
        <v>24450</v>
      </c>
      <c r="D68" s="49">
        <v>169</v>
      </c>
      <c r="E68" s="49">
        <f>711+1208+1419</f>
        <v>3338</v>
      </c>
      <c r="F68" s="49">
        <f>876+486+1364</f>
        <v>2726</v>
      </c>
      <c r="G68" s="49">
        <f>1215+1169</f>
        <v>2384</v>
      </c>
      <c r="H68" s="49">
        <f>1130+1407</f>
        <v>2537</v>
      </c>
      <c r="I68" s="49">
        <v>3544</v>
      </c>
      <c r="J68" s="84">
        <v>4258</v>
      </c>
      <c r="K68" s="49">
        <v>3088</v>
      </c>
      <c r="L68" s="49">
        <v>1702</v>
      </c>
      <c r="M68" s="49">
        <v>704</v>
      </c>
      <c r="N68" s="38"/>
    </row>
    <row r="69" spans="2:14">
      <c r="B69" s="137" t="s">
        <v>383</v>
      </c>
      <c r="C69" s="49">
        <v>67700</v>
      </c>
      <c r="D69" s="49">
        <v>635</v>
      </c>
      <c r="E69" s="49">
        <f>2672+3433+3384</f>
        <v>9489</v>
      </c>
      <c r="F69" s="49">
        <f>2159+2900+7707</f>
        <v>12766</v>
      </c>
      <c r="G69" s="49">
        <f>4035+4074</f>
        <v>8109</v>
      </c>
      <c r="H69" s="49">
        <f>3529+3638</f>
        <v>7167</v>
      </c>
      <c r="I69" s="49">
        <v>8674</v>
      </c>
      <c r="J69" s="84">
        <v>9965</v>
      </c>
      <c r="K69" s="49">
        <v>6017</v>
      </c>
      <c r="L69" s="49">
        <v>3337</v>
      </c>
      <c r="M69" s="49">
        <v>1541</v>
      </c>
      <c r="N69" s="38"/>
    </row>
    <row r="70" spans="2:14">
      <c r="B70" s="137" t="s">
        <v>384</v>
      </c>
      <c r="C70" s="49">
        <v>28605</v>
      </c>
      <c r="D70" s="49">
        <v>256</v>
      </c>
      <c r="E70" s="49">
        <f>1234+1692+1678</f>
        <v>4604</v>
      </c>
      <c r="F70" s="49">
        <f>1005+630+1606</f>
        <v>3241</v>
      </c>
      <c r="G70" s="49">
        <f>1405+1473</f>
        <v>2878</v>
      </c>
      <c r="H70" s="49">
        <f>1402+1596</f>
        <v>2998</v>
      </c>
      <c r="I70" s="49">
        <v>3979</v>
      </c>
      <c r="J70" s="84">
        <v>4718</v>
      </c>
      <c r="K70" s="49">
        <v>3394</v>
      </c>
      <c r="L70" s="49">
        <v>1757</v>
      </c>
      <c r="M70" s="49">
        <v>780</v>
      </c>
      <c r="N70" s="38"/>
    </row>
    <row r="71" spans="2:14">
      <c r="B71" s="137" t="s">
        <v>385</v>
      </c>
      <c r="C71" s="49">
        <v>43108</v>
      </c>
      <c r="D71" s="49">
        <v>388</v>
      </c>
      <c r="E71" s="49">
        <f>1638+2247+2498</f>
        <v>6383</v>
      </c>
      <c r="F71" s="49">
        <f>1444+2767+5952</f>
        <v>10163</v>
      </c>
      <c r="G71" s="49">
        <f>2508+2029</f>
        <v>4537</v>
      </c>
      <c r="H71" s="49">
        <f>1931+2042</f>
        <v>3973</v>
      </c>
      <c r="I71" s="49">
        <v>5082</v>
      </c>
      <c r="J71" s="84">
        <v>5442</v>
      </c>
      <c r="K71" s="49">
        <v>4242</v>
      </c>
      <c r="L71" s="49">
        <v>2152</v>
      </c>
      <c r="M71" s="49">
        <v>746</v>
      </c>
      <c r="N71" s="38"/>
    </row>
    <row r="72" spans="2:14">
      <c r="B72" s="137" t="s">
        <v>386</v>
      </c>
      <c r="C72" s="49">
        <v>23791</v>
      </c>
      <c r="D72" s="49">
        <v>194</v>
      </c>
      <c r="E72" s="49">
        <f>866+1262+1450</f>
        <v>3578</v>
      </c>
      <c r="F72" s="49">
        <f>912+499+1137</f>
        <v>2548</v>
      </c>
      <c r="G72" s="49">
        <f>1058+1203</f>
        <v>2261</v>
      </c>
      <c r="H72" s="49">
        <f>1179+1298</f>
        <v>2477</v>
      </c>
      <c r="I72" s="49">
        <v>3670</v>
      </c>
      <c r="J72" s="84">
        <v>4083</v>
      </c>
      <c r="K72" s="49">
        <v>2670</v>
      </c>
      <c r="L72" s="49">
        <v>1551</v>
      </c>
      <c r="M72" s="49">
        <v>759</v>
      </c>
      <c r="N72" s="38"/>
    </row>
    <row r="73" spans="2:14">
      <c r="B73" s="137"/>
      <c r="C73" s="49"/>
      <c r="D73" s="49"/>
      <c r="E73" s="49"/>
      <c r="F73" s="49"/>
      <c r="G73" s="49"/>
      <c r="H73" s="49"/>
      <c r="I73" s="49"/>
      <c r="J73" s="84"/>
      <c r="K73" s="49"/>
      <c r="L73" s="49"/>
      <c r="M73" s="49"/>
      <c r="N73" s="38"/>
    </row>
    <row r="74" spans="2:14">
      <c r="B74" s="137" t="s">
        <v>387</v>
      </c>
      <c r="C74" s="49">
        <v>83919</v>
      </c>
      <c r="D74" s="49">
        <v>903</v>
      </c>
      <c r="E74" s="49">
        <f>3643+5109+5622</f>
        <v>14374</v>
      </c>
      <c r="F74" s="49">
        <f>3527+2282+5498</f>
        <v>11307</v>
      </c>
      <c r="G74" s="49">
        <f>4899+4820</f>
        <v>9719</v>
      </c>
      <c r="H74" s="49">
        <f>4623+5258</f>
        <v>9881</v>
      </c>
      <c r="I74" s="49">
        <v>13010</v>
      </c>
      <c r="J74" s="84">
        <v>11468</v>
      </c>
      <c r="K74" s="49">
        <v>6974</v>
      </c>
      <c r="L74" s="49">
        <v>4274</v>
      </c>
      <c r="M74" s="49">
        <v>2009</v>
      </c>
      <c r="N74" s="38"/>
    </row>
    <row r="75" spans="2:14">
      <c r="B75" s="137" t="s">
        <v>388</v>
      </c>
      <c r="C75" s="49">
        <v>15051</v>
      </c>
      <c r="D75" s="49">
        <v>173</v>
      </c>
      <c r="E75" s="49">
        <f>717+964+1021</f>
        <v>2702</v>
      </c>
      <c r="F75" s="49">
        <f>633+359+802</f>
        <v>1794</v>
      </c>
      <c r="G75" s="49">
        <f>784+821</f>
        <v>1605</v>
      </c>
      <c r="H75" s="49">
        <f>685+887</f>
        <v>1572</v>
      </c>
      <c r="I75" s="49">
        <v>2156</v>
      </c>
      <c r="J75" s="84">
        <v>2228</v>
      </c>
      <c r="K75" s="49">
        <v>1631</v>
      </c>
      <c r="L75" s="49">
        <v>844</v>
      </c>
      <c r="M75" s="49">
        <v>346</v>
      </c>
      <c r="N75" s="38"/>
    </row>
    <row r="76" spans="2:14">
      <c r="B76" s="137" t="s">
        <v>389</v>
      </c>
      <c r="C76" s="49">
        <v>150376</v>
      </c>
      <c r="D76" s="49">
        <v>1553</v>
      </c>
      <c r="E76" s="49">
        <f>6709+9201+10268</f>
        <v>26178</v>
      </c>
      <c r="F76" s="49">
        <f>6626+3509+9109</f>
        <v>19244</v>
      </c>
      <c r="G76" s="49">
        <f>8146+8263</f>
        <v>16409</v>
      </c>
      <c r="H76" s="49">
        <f>8593+9874</f>
        <v>18467</v>
      </c>
      <c r="I76" s="49">
        <v>23525</v>
      </c>
      <c r="J76" s="84">
        <v>22165</v>
      </c>
      <c r="K76" s="49">
        <v>13060</v>
      </c>
      <c r="L76" s="49">
        <v>6750</v>
      </c>
      <c r="M76" s="49">
        <v>3025</v>
      </c>
      <c r="N76" s="38"/>
    </row>
    <row r="77" spans="2:14">
      <c r="B77" s="137" t="s">
        <v>390</v>
      </c>
      <c r="C77" s="49">
        <v>63105</v>
      </c>
      <c r="D77" s="49">
        <v>705</v>
      </c>
      <c r="E77" s="49">
        <f>2874+3967+4297</f>
        <v>11138</v>
      </c>
      <c r="F77" s="49">
        <f>2721+1473+3733</f>
        <v>7927</v>
      </c>
      <c r="G77" s="49">
        <f>3654+3946</f>
        <v>7600</v>
      </c>
      <c r="H77" s="49">
        <f>3742+4239</f>
        <v>7981</v>
      </c>
      <c r="I77" s="49">
        <v>9383</v>
      </c>
      <c r="J77" s="84">
        <v>8542</v>
      </c>
      <c r="K77" s="49">
        <v>5674</v>
      </c>
      <c r="L77" s="49">
        <v>3023</v>
      </c>
      <c r="M77" s="49">
        <v>1132</v>
      </c>
      <c r="N77" s="38"/>
    </row>
    <row r="78" spans="2:14">
      <c r="B78" s="137" t="s">
        <v>391</v>
      </c>
      <c r="C78" s="49">
        <v>9350</v>
      </c>
      <c r="D78" s="49">
        <v>55</v>
      </c>
      <c r="E78" s="49">
        <f>263+370+436</f>
        <v>1069</v>
      </c>
      <c r="F78" s="49">
        <f>296+158+319</f>
        <v>773</v>
      </c>
      <c r="G78" s="49">
        <f>325+372</f>
        <v>697</v>
      </c>
      <c r="H78" s="49">
        <f>367+442</f>
        <v>809</v>
      </c>
      <c r="I78" s="49">
        <v>1313</v>
      </c>
      <c r="J78" s="84">
        <v>1906</v>
      </c>
      <c r="K78" s="49">
        <v>1549</v>
      </c>
      <c r="L78" s="49">
        <v>870</v>
      </c>
      <c r="M78" s="49">
        <v>309</v>
      </c>
      <c r="N78" s="38"/>
    </row>
    <row r="79" spans="2:14">
      <c r="B79" s="137"/>
      <c r="C79" s="49"/>
      <c r="D79" s="49"/>
      <c r="E79" s="49"/>
      <c r="F79" s="49"/>
      <c r="G79" s="49"/>
      <c r="H79" s="49"/>
      <c r="I79" s="49"/>
      <c r="J79" s="84"/>
      <c r="K79" s="49"/>
      <c r="L79" s="49"/>
      <c r="M79" s="49"/>
      <c r="N79" s="38"/>
    </row>
    <row r="80" spans="2:14">
      <c r="B80" s="137" t="s">
        <v>392</v>
      </c>
      <c r="C80" s="49">
        <v>171008</v>
      </c>
      <c r="D80" s="49">
        <v>2126</v>
      </c>
      <c r="E80" s="49">
        <f>8665+11368+11902</f>
        <v>31935</v>
      </c>
      <c r="F80" s="49">
        <f>7132+4326+11334</f>
        <v>22792</v>
      </c>
      <c r="G80" s="49">
        <f>10360+10708</f>
        <v>21068</v>
      </c>
      <c r="H80" s="49">
        <f>9948+10377</f>
        <v>20325</v>
      </c>
      <c r="I80" s="49">
        <v>24104</v>
      </c>
      <c r="J80" s="84">
        <v>23419</v>
      </c>
      <c r="K80" s="49">
        <v>14170</v>
      </c>
      <c r="L80" s="49">
        <v>7579</v>
      </c>
      <c r="M80" s="49">
        <v>3490</v>
      </c>
      <c r="N80" s="38"/>
    </row>
    <row r="81" spans="2:14">
      <c r="B81" s="137" t="s">
        <v>393</v>
      </c>
      <c r="C81" s="49">
        <v>48001</v>
      </c>
      <c r="D81" s="49">
        <v>562</v>
      </c>
      <c r="E81" s="49">
        <f>2234+3114+3238</f>
        <v>8586</v>
      </c>
      <c r="F81" s="49">
        <f>2136+1100+2803</f>
        <v>6039</v>
      </c>
      <c r="G81" s="49">
        <f>2533+2539</f>
        <v>5072</v>
      </c>
      <c r="H81" s="49">
        <f>2513+2822</f>
        <v>5335</v>
      </c>
      <c r="I81" s="49">
        <v>7157</v>
      </c>
      <c r="J81" s="84">
        <v>6969</v>
      </c>
      <c r="K81" s="49">
        <v>4818</v>
      </c>
      <c r="L81" s="49">
        <v>2575</v>
      </c>
      <c r="M81" s="49">
        <v>888</v>
      </c>
      <c r="N81" s="38"/>
    </row>
    <row r="82" spans="2:14">
      <c r="B82" s="137" t="s">
        <v>394</v>
      </c>
      <c r="C82" s="49">
        <v>1231640</v>
      </c>
      <c r="D82" s="49">
        <v>13556</v>
      </c>
      <c r="E82" s="49">
        <f>54523+74725+82027</f>
        <v>211275</v>
      </c>
      <c r="F82" s="49">
        <f>51766+29115+70871</f>
        <v>151752</v>
      </c>
      <c r="G82" s="49">
        <f>73495+76761</f>
        <v>150256</v>
      </c>
      <c r="H82" s="49">
        <f>74571+87938</f>
        <v>162509</v>
      </c>
      <c r="I82" s="49">
        <v>190631</v>
      </c>
      <c r="J82" s="84">
        <v>171939</v>
      </c>
      <c r="K82" s="49">
        <v>102188</v>
      </c>
      <c r="L82" s="49">
        <v>50836</v>
      </c>
      <c r="M82" s="49">
        <v>26698</v>
      </c>
      <c r="N82" s="38"/>
    </row>
    <row r="83" spans="2:14">
      <c r="B83" s="137" t="s">
        <v>395</v>
      </c>
      <c r="C83" s="49">
        <v>26245</v>
      </c>
      <c r="D83" s="49">
        <v>302</v>
      </c>
      <c r="E83" s="49">
        <f>1334+1798+1786</f>
        <v>4918</v>
      </c>
      <c r="F83" s="49">
        <f>1070+627+1404</f>
        <v>3101</v>
      </c>
      <c r="G83" s="49">
        <f>1307+1323</f>
        <v>2630</v>
      </c>
      <c r="H83" s="49">
        <f>1346+1436</f>
        <v>2782</v>
      </c>
      <c r="I83" s="49">
        <v>3785</v>
      </c>
      <c r="J83" s="84">
        <v>3815</v>
      </c>
      <c r="K83" s="49">
        <v>2889</v>
      </c>
      <c r="L83" s="49">
        <v>1476</v>
      </c>
      <c r="M83" s="49">
        <v>547</v>
      </c>
      <c r="N83" s="38"/>
    </row>
    <row r="84" spans="2:14">
      <c r="B84" s="137" t="s">
        <v>396</v>
      </c>
      <c r="C84" s="49">
        <v>21234</v>
      </c>
      <c r="D84" s="49">
        <v>189</v>
      </c>
      <c r="E84" s="49">
        <f>796+1070+1201</f>
        <v>3067</v>
      </c>
      <c r="F84" s="49">
        <f>795+445+1077</f>
        <v>2317</v>
      </c>
      <c r="G84" s="49">
        <f>923+987</f>
        <v>1910</v>
      </c>
      <c r="H84" s="49">
        <f>1002+1103</f>
        <v>2105</v>
      </c>
      <c r="I84" s="49">
        <v>2963</v>
      </c>
      <c r="J84" s="84">
        <v>3660</v>
      </c>
      <c r="K84" s="49">
        <v>2952</v>
      </c>
      <c r="L84" s="49">
        <v>1536</v>
      </c>
      <c r="M84" s="49">
        <v>535</v>
      </c>
      <c r="N84" s="38"/>
    </row>
    <row r="85" spans="2:14">
      <c r="B85" s="137"/>
      <c r="C85" s="49"/>
      <c r="D85" s="49"/>
      <c r="E85" s="49"/>
      <c r="F85" s="49"/>
      <c r="G85" s="49"/>
      <c r="H85" s="49"/>
      <c r="I85" s="49"/>
      <c r="J85" s="84"/>
      <c r="K85" s="49"/>
      <c r="L85" s="49"/>
      <c r="M85" s="49"/>
      <c r="N85" s="38"/>
    </row>
    <row r="86" spans="2:14">
      <c r="B86" s="137" t="s">
        <v>397</v>
      </c>
      <c r="C86" s="49">
        <v>6322</v>
      </c>
      <c r="D86" s="49">
        <v>29</v>
      </c>
      <c r="E86" s="49">
        <f>132+245+277</f>
        <v>654</v>
      </c>
      <c r="F86" s="49">
        <f>192+109+169</f>
        <v>470</v>
      </c>
      <c r="G86" s="49">
        <f>184+208</f>
        <v>392</v>
      </c>
      <c r="H86" s="49">
        <f>234+313</f>
        <v>547</v>
      </c>
      <c r="I86" s="49">
        <v>992</v>
      </c>
      <c r="J86" s="84">
        <v>1305</v>
      </c>
      <c r="K86" s="49">
        <v>1152</v>
      </c>
      <c r="L86" s="49">
        <v>583</v>
      </c>
      <c r="M86" s="49">
        <v>198</v>
      </c>
      <c r="N86" s="38"/>
    </row>
    <row r="87" spans="2:14">
      <c r="B87" s="137" t="s">
        <v>398</v>
      </c>
      <c r="C87" s="49">
        <v>23259</v>
      </c>
      <c r="D87" s="49">
        <v>286</v>
      </c>
      <c r="E87" s="49">
        <f>1058+1522+1599</f>
        <v>4179</v>
      </c>
      <c r="F87" s="49">
        <f>1056+539+1256</f>
        <v>2851</v>
      </c>
      <c r="G87" s="49">
        <f>1186+1227</f>
        <v>2413</v>
      </c>
      <c r="H87" s="49">
        <f>1157+1397</f>
        <v>2554</v>
      </c>
      <c r="I87" s="49">
        <v>3255</v>
      </c>
      <c r="J87" s="84">
        <v>3414</v>
      </c>
      <c r="K87" s="49">
        <v>2458</v>
      </c>
      <c r="L87" s="49">
        <v>1393</v>
      </c>
      <c r="M87" s="49">
        <v>456</v>
      </c>
      <c r="N87" s="38"/>
    </row>
    <row r="88" spans="2:14">
      <c r="B88" s="137" t="s">
        <v>399</v>
      </c>
      <c r="C88" s="49">
        <v>8379</v>
      </c>
      <c r="D88" s="49">
        <v>73</v>
      </c>
      <c r="E88" s="49">
        <f>329+426+462</f>
        <v>1217</v>
      </c>
      <c r="F88" s="49">
        <f>318+177+367</f>
        <v>862</v>
      </c>
      <c r="G88" s="49">
        <f>350+340</f>
        <v>690</v>
      </c>
      <c r="H88" s="49">
        <f>313+397</f>
        <v>710</v>
      </c>
      <c r="I88" s="49">
        <v>1161</v>
      </c>
      <c r="J88" s="84">
        <v>1518</v>
      </c>
      <c r="K88" s="49">
        <v>1277</v>
      </c>
      <c r="L88" s="49">
        <v>663</v>
      </c>
      <c r="M88" s="49">
        <v>208</v>
      </c>
      <c r="N88" s="38"/>
    </row>
    <row r="89" spans="2:14">
      <c r="B89" s="137" t="s">
        <v>400</v>
      </c>
      <c r="C89" s="49">
        <v>24129</v>
      </c>
      <c r="D89" s="49">
        <v>259</v>
      </c>
      <c r="E89" s="49">
        <f>1117+1384+1569</f>
        <v>4070</v>
      </c>
      <c r="F89" s="49">
        <f>970+525+1344</f>
        <v>2839</v>
      </c>
      <c r="G89" s="49">
        <f>1180+1241</f>
        <v>2421</v>
      </c>
      <c r="H89" s="49">
        <f>1192+1459</f>
        <v>2651</v>
      </c>
      <c r="I89" s="49">
        <v>3679</v>
      </c>
      <c r="J89" s="84">
        <v>3652</v>
      </c>
      <c r="K89" s="49">
        <v>2606</v>
      </c>
      <c r="L89" s="49">
        <v>1404</v>
      </c>
      <c r="M89" s="49">
        <v>548</v>
      </c>
      <c r="N89" s="38"/>
    </row>
    <row r="90" spans="2:14">
      <c r="B90" s="137" t="s">
        <v>401</v>
      </c>
      <c r="C90" s="49">
        <v>272701</v>
      </c>
      <c r="D90" s="49">
        <v>3453</v>
      </c>
      <c r="E90" s="49">
        <f>14026+19241+19759</f>
        <v>53026</v>
      </c>
      <c r="F90" s="49">
        <f>12102+11461+25605</f>
        <v>49168</v>
      </c>
      <c r="G90" s="49">
        <f>15216+16399</f>
        <v>31615</v>
      </c>
      <c r="H90" s="49">
        <f>15624+16585</f>
        <v>32209</v>
      </c>
      <c r="I90" s="49">
        <v>36582</v>
      </c>
      <c r="J90" s="84">
        <v>31616</v>
      </c>
      <c r="K90" s="49">
        <v>19484</v>
      </c>
      <c r="L90" s="49">
        <v>10422</v>
      </c>
      <c r="M90" s="49">
        <v>5126</v>
      </c>
      <c r="N90" s="38"/>
    </row>
    <row r="91" spans="2:14">
      <c r="B91" s="137"/>
      <c r="C91" s="49"/>
      <c r="D91" s="49"/>
      <c r="E91" s="49"/>
      <c r="F91" s="49"/>
      <c r="G91" s="49"/>
      <c r="H91" s="49"/>
      <c r="I91" s="49"/>
      <c r="J91" s="84"/>
      <c r="K91" s="49"/>
      <c r="L91" s="49"/>
      <c r="M91" s="49"/>
      <c r="N91" s="38"/>
    </row>
    <row r="92" spans="2:14">
      <c r="B92" s="137" t="s">
        <v>402</v>
      </c>
      <c r="C92" s="49">
        <v>13062</v>
      </c>
      <c r="D92" s="49">
        <v>82</v>
      </c>
      <c r="E92" s="49">
        <f>380+561+678</f>
        <v>1619</v>
      </c>
      <c r="F92" s="49">
        <f>460+229+524</f>
        <v>1213</v>
      </c>
      <c r="G92" s="49">
        <f>410+547</f>
        <v>957</v>
      </c>
      <c r="H92" s="49">
        <f>532+634</f>
        <v>1166</v>
      </c>
      <c r="I92" s="49">
        <v>1821</v>
      </c>
      <c r="J92" s="84">
        <v>2522</v>
      </c>
      <c r="K92" s="49">
        <v>1993</v>
      </c>
      <c r="L92" s="49">
        <v>1154</v>
      </c>
      <c r="M92" s="49">
        <v>535</v>
      </c>
      <c r="N92" s="38"/>
    </row>
    <row r="93" spans="2:14">
      <c r="B93" s="137" t="s">
        <v>403</v>
      </c>
      <c r="C93" s="49">
        <v>24014</v>
      </c>
      <c r="D93" s="49">
        <v>205</v>
      </c>
      <c r="E93" s="49">
        <f>733+1009+1065</f>
        <v>2807</v>
      </c>
      <c r="F93" s="49">
        <f>677+431+979</f>
        <v>2087</v>
      </c>
      <c r="G93" s="49">
        <f>900+890</f>
        <v>1790</v>
      </c>
      <c r="H93" s="49">
        <f>902+1155</f>
        <v>2057</v>
      </c>
      <c r="I93" s="49">
        <v>3253</v>
      </c>
      <c r="J93" s="84">
        <v>4733</v>
      </c>
      <c r="K93" s="49">
        <v>4162</v>
      </c>
      <c r="L93" s="49">
        <v>2192</v>
      </c>
      <c r="M93" s="49">
        <v>728</v>
      </c>
      <c r="N93" s="38"/>
    </row>
    <row r="94" spans="2:14">
      <c r="B94" s="137" t="s">
        <v>404</v>
      </c>
      <c r="C94" s="49">
        <v>196542</v>
      </c>
      <c r="D94" s="49">
        <v>2216</v>
      </c>
      <c r="E94" s="49">
        <f>9035+11863+12666</f>
        <v>33564</v>
      </c>
      <c r="F94" s="49">
        <f>7904+6106+14511</f>
        <v>28521</v>
      </c>
      <c r="G94" s="49">
        <f>11582+10809</f>
        <v>22391</v>
      </c>
      <c r="H94" s="49">
        <f>10374+11925</f>
        <v>22299</v>
      </c>
      <c r="I94" s="49">
        <v>27216</v>
      </c>
      <c r="J94" s="84">
        <v>27496</v>
      </c>
      <c r="K94" s="49">
        <v>17914</v>
      </c>
      <c r="L94" s="49">
        <v>10127</v>
      </c>
      <c r="M94" s="49">
        <v>4798</v>
      </c>
      <c r="N94" s="38"/>
    </row>
    <row r="95" spans="2:14">
      <c r="B95" s="137" t="s">
        <v>520</v>
      </c>
      <c r="C95" s="49">
        <v>160469</v>
      </c>
      <c r="D95" s="49">
        <v>1650</v>
      </c>
      <c r="E95" s="49">
        <f>6832+9719+10832</f>
        <v>27383</v>
      </c>
      <c r="F95" s="49">
        <f>6821+3803+9550</f>
        <v>20174</v>
      </c>
      <c r="G95" s="49">
        <f>8079+8463</f>
        <v>16542</v>
      </c>
      <c r="H95" s="49">
        <f>8720+10829</f>
        <v>19549</v>
      </c>
      <c r="I95" s="49">
        <v>25758</v>
      </c>
      <c r="J95" s="84">
        <v>23523</v>
      </c>
      <c r="K95" s="49">
        <v>14840</v>
      </c>
      <c r="L95" s="49">
        <v>7574</v>
      </c>
      <c r="M95" s="49">
        <v>3476</v>
      </c>
      <c r="N95" s="38"/>
    </row>
    <row r="96" spans="2:14">
      <c r="B96" s="137" t="s">
        <v>521</v>
      </c>
      <c r="C96" s="49">
        <v>60964</v>
      </c>
      <c r="D96" s="49">
        <v>869</v>
      </c>
      <c r="E96" s="49">
        <f>3277+4351+4321</f>
        <v>11949</v>
      </c>
      <c r="F96" s="49">
        <f>2538+1457+3651</f>
        <v>7646</v>
      </c>
      <c r="G96" s="49">
        <f>3531+3515</f>
        <v>7046</v>
      </c>
      <c r="H96" s="49">
        <f>3430+3587</f>
        <v>7017</v>
      </c>
      <c r="I96" s="49">
        <v>8412</v>
      </c>
      <c r="J96" s="84">
        <v>8220</v>
      </c>
      <c r="K96" s="49">
        <v>5490</v>
      </c>
      <c r="L96" s="49">
        <v>2932</v>
      </c>
      <c r="M96" s="49">
        <v>1383</v>
      </c>
      <c r="N96" s="38"/>
    </row>
    <row r="97" spans="2:14">
      <c r="B97" s="137"/>
      <c r="C97" s="49"/>
      <c r="D97" s="49"/>
      <c r="E97" s="49"/>
      <c r="F97" s="49"/>
      <c r="G97" s="49"/>
      <c r="H97" s="49"/>
      <c r="I97" s="49"/>
      <c r="J97" s="84"/>
      <c r="K97" s="49"/>
      <c r="L97" s="49"/>
      <c r="M97" s="49"/>
      <c r="N97" s="38"/>
    </row>
    <row r="98" spans="2:14">
      <c r="B98" s="137" t="s">
        <v>407</v>
      </c>
      <c r="C98" s="49">
        <v>41823</v>
      </c>
      <c r="D98" s="49">
        <v>405</v>
      </c>
      <c r="E98" s="49">
        <f>1825+2574+2791</f>
        <v>7190</v>
      </c>
      <c r="F98" s="49">
        <f>1784+1006+2193</f>
        <v>4983</v>
      </c>
      <c r="G98" s="49">
        <f>1973+2102</f>
        <v>4075</v>
      </c>
      <c r="H98" s="49">
        <f>2148+2487</f>
        <v>4635</v>
      </c>
      <c r="I98" s="49">
        <v>6179</v>
      </c>
      <c r="J98" s="84">
        <v>6385</v>
      </c>
      <c r="K98" s="49">
        <v>4406</v>
      </c>
      <c r="L98" s="49">
        <v>2589</v>
      </c>
      <c r="M98" s="49">
        <v>976</v>
      </c>
      <c r="N98" s="38"/>
    </row>
    <row r="99" spans="2:14">
      <c r="B99" s="137" t="s">
        <v>408</v>
      </c>
      <c r="C99" s="49">
        <v>8247</v>
      </c>
      <c r="D99" s="49">
        <v>67</v>
      </c>
      <c r="E99" s="49">
        <f>297+413+438</f>
        <v>1148</v>
      </c>
      <c r="F99" s="49">
        <f>324+188+351</f>
        <v>863</v>
      </c>
      <c r="G99" s="49">
        <f>313+353</f>
        <v>666</v>
      </c>
      <c r="H99" s="49">
        <f>392+475</f>
        <v>867</v>
      </c>
      <c r="I99" s="49">
        <v>1238</v>
      </c>
      <c r="J99" s="84">
        <v>1485</v>
      </c>
      <c r="K99" s="49">
        <v>1037</v>
      </c>
      <c r="L99" s="49">
        <v>630</v>
      </c>
      <c r="M99" s="49">
        <v>246</v>
      </c>
      <c r="N99" s="38"/>
    </row>
    <row r="100" spans="2:14">
      <c r="B100" s="137" t="s">
        <v>409</v>
      </c>
      <c r="C100" s="49">
        <v>68900</v>
      </c>
      <c r="D100" s="49">
        <v>705</v>
      </c>
      <c r="E100" s="49">
        <f>2851+4142+4745</f>
        <v>11738</v>
      </c>
      <c r="F100" s="49">
        <f>3112+1848+4250</f>
        <v>9210</v>
      </c>
      <c r="G100" s="49">
        <f>3559+3850</f>
        <v>7409</v>
      </c>
      <c r="H100" s="49">
        <f>3756+4531</f>
        <v>8287</v>
      </c>
      <c r="I100" s="49">
        <v>10770</v>
      </c>
      <c r="J100" s="84">
        <v>9818</v>
      </c>
      <c r="K100" s="49">
        <v>6312</v>
      </c>
      <c r="L100" s="49">
        <v>3253</v>
      </c>
      <c r="M100" s="49">
        <v>1398</v>
      </c>
      <c r="N100" s="38"/>
    </row>
    <row r="101" spans="2:14">
      <c r="B101" s="137" t="s">
        <v>410</v>
      </c>
      <c r="C101" s="49">
        <v>54263</v>
      </c>
      <c r="D101" s="49">
        <v>505</v>
      </c>
      <c r="E101" s="49">
        <f>2182+3203+3449</f>
        <v>8834</v>
      </c>
      <c r="F101" s="49">
        <f>2434+1209+3236</f>
        <v>6879</v>
      </c>
      <c r="G101" s="49">
        <f>2771+2982</f>
        <v>5753</v>
      </c>
      <c r="H101" s="49">
        <f>2881+3413</f>
        <v>6294</v>
      </c>
      <c r="I101" s="49">
        <v>8221</v>
      </c>
      <c r="J101" s="84">
        <v>8164</v>
      </c>
      <c r="K101" s="49">
        <v>5589</v>
      </c>
      <c r="L101" s="49">
        <v>2893</v>
      </c>
      <c r="M101" s="49">
        <v>1131</v>
      </c>
      <c r="N101" s="38"/>
    </row>
    <row r="102" spans="2:14">
      <c r="B102" s="137" t="s">
        <v>411</v>
      </c>
      <c r="C102" s="49">
        <v>75455</v>
      </c>
      <c r="D102" s="49">
        <v>891</v>
      </c>
      <c r="E102" s="49">
        <f>3853+5019+5282</f>
        <v>14154</v>
      </c>
      <c r="F102" s="49">
        <f>3283+1880+4276</f>
        <v>9439</v>
      </c>
      <c r="G102" s="49">
        <f>3784+4430</f>
        <v>8214</v>
      </c>
      <c r="H102" s="49">
        <f>4223+4705</f>
        <v>8928</v>
      </c>
      <c r="I102" s="49">
        <v>11001</v>
      </c>
      <c r="J102" s="84">
        <v>11183</v>
      </c>
      <c r="K102" s="49">
        <v>6860</v>
      </c>
      <c r="L102" s="49">
        <v>3386</v>
      </c>
      <c r="M102" s="49">
        <v>1399</v>
      </c>
      <c r="N102" s="38"/>
    </row>
    <row r="103" spans="2:14">
      <c r="B103" s="137"/>
      <c r="C103" s="49"/>
      <c r="D103" s="49"/>
      <c r="E103" s="49"/>
      <c r="F103" s="49"/>
      <c r="G103" s="49"/>
      <c r="H103" s="49"/>
      <c r="I103" s="49"/>
      <c r="J103" s="84"/>
      <c r="K103" s="49"/>
      <c r="L103" s="49"/>
      <c r="M103" s="49"/>
      <c r="N103" s="38"/>
    </row>
    <row r="104" spans="2:14">
      <c r="B104" s="137" t="s">
        <v>412</v>
      </c>
      <c r="C104" s="49">
        <v>354240</v>
      </c>
      <c r="D104" s="49">
        <v>3753</v>
      </c>
      <c r="E104" s="49">
        <f>14953+19482+19930</f>
        <v>54365</v>
      </c>
      <c r="F104" s="49">
        <f>12498+18243+45875</f>
        <v>76616</v>
      </c>
      <c r="G104" s="49">
        <f>25874+23538</f>
        <v>49412</v>
      </c>
      <c r="H104" s="49">
        <f>20246+21898</f>
        <v>42144</v>
      </c>
      <c r="I104" s="49">
        <v>45435</v>
      </c>
      <c r="J104" s="84">
        <v>41640</v>
      </c>
      <c r="K104" s="49">
        <v>24252</v>
      </c>
      <c r="L104" s="49">
        <v>11233</v>
      </c>
      <c r="M104" s="49">
        <v>5390</v>
      </c>
      <c r="N104" s="38"/>
    </row>
    <row r="105" spans="2:14">
      <c r="B105" s="137" t="s">
        <v>413</v>
      </c>
      <c r="C105" s="49">
        <v>1775273</v>
      </c>
      <c r="D105" s="49">
        <v>23153</v>
      </c>
      <c r="E105" s="49">
        <f>92587+116697+122724</f>
        <v>332008</v>
      </c>
      <c r="F105" s="49">
        <f>75647+46168+131349</f>
        <v>253164</v>
      </c>
      <c r="G105" s="49">
        <f>112559+107491</f>
        <v>220050</v>
      </c>
      <c r="H105" s="49">
        <f>104897+120066</f>
        <v>224963</v>
      </c>
      <c r="I105" s="49">
        <v>249506</v>
      </c>
      <c r="J105" s="84">
        <v>232019</v>
      </c>
      <c r="K105" s="49">
        <v>131808</v>
      </c>
      <c r="L105" s="49">
        <v>71980</v>
      </c>
      <c r="M105" s="49">
        <v>36622</v>
      </c>
      <c r="N105" s="38"/>
    </row>
    <row r="106" spans="2:14">
      <c r="B106" s="137" t="s">
        <v>414</v>
      </c>
      <c r="C106" s="49">
        <v>32645</v>
      </c>
      <c r="D106" s="49">
        <v>419</v>
      </c>
      <c r="E106" s="49">
        <f>1674+2209+2089</f>
        <v>5972</v>
      </c>
      <c r="F106" s="49">
        <f>1259+701+1802</f>
        <v>3762</v>
      </c>
      <c r="G106" s="49">
        <f>1818+1854</f>
        <v>3672</v>
      </c>
      <c r="H106" s="49">
        <f>1727+1984</f>
        <v>3711</v>
      </c>
      <c r="I106" s="49">
        <v>4761</v>
      </c>
      <c r="J106" s="84">
        <v>4682</v>
      </c>
      <c r="K106" s="49">
        <v>3285</v>
      </c>
      <c r="L106" s="49">
        <v>1673</v>
      </c>
      <c r="M106" s="49">
        <v>708</v>
      </c>
      <c r="N106" s="38"/>
    </row>
    <row r="107" spans="2:14">
      <c r="B107" s="65"/>
      <c r="C107" s="65"/>
      <c r="D107" s="65"/>
      <c r="E107" s="65"/>
      <c r="F107" s="65"/>
      <c r="G107" s="65"/>
      <c r="H107" s="65"/>
      <c r="I107" s="65"/>
      <c r="J107" s="65"/>
      <c r="K107" s="65"/>
      <c r="L107" s="65"/>
      <c r="M107" s="65"/>
    </row>
    <row r="108" spans="2:14">
      <c r="B108" s="14"/>
      <c r="C108" s="14"/>
      <c r="D108" s="14"/>
      <c r="E108" s="14"/>
      <c r="F108" s="14"/>
      <c r="G108" s="14"/>
      <c r="H108" s="14"/>
      <c r="I108" s="14"/>
      <c r="J108" s="14"/>
      <c r="K108" s="14"/>
      <c r="L108" s="14"/>
      <c r="M108" s="14"/>
    </row>
    <row r="109" spans="2:14" ht="15.75" customHeight="1">
      <c r="B109" s="349" t="s">
        <v>642</v>
      </c>
      <c r="C109" s="349"/>
      <c r="D109" s="349"/>
      <c r="E109" s="349"/>
      <c r="F109" s="349"/>
      <c r="G109" s="349"/>
      <c r="H109" s="349"/>
      <c r="I109" s="349"/>
      <c r="J109" s="349"/>
      <c r="K109" s="349"/>
      <c r="L109" s="349"/>
      <c r="M109" s="349"/>
    </row>
    <row r="110" spans="2:14">
      <c r="B110" s="349"/>
      <c r="C110" s="349"/>
      <c r="D110" s="349"/>
      <c r="E110" s="349"/>
      <c r="F110" s="349"/>
      <c r="G110" s="349"/>
      <c r="H110" s="349"/>
      <c r="I110" s="349"/>
      <c r="J110" s="349"/>
      <c r="K110" s="349"/>
      <c r="L110" s="349"/>
      <c r="M110" s="349"/>
    </row>
  </sheetData>
  <mergeCells count="1">
    <mergeCell ref="B109:M110"/>
  </mergeCells>
  <phoneticPr fontId="1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workbookViewId="0"/>
  </sheetViews>
  <sheetFormatPr defaultRowHeight="15"/>
  <cols>
    <col min="1" max="1" width="4.6640625" style="2" customWidth="1"/>
    <col min="2" max="2" width="20.83203125" style="2" customWidth="1"/>
    <col min="3" max="3" width="11.1640625" style="2" bestFit="1" customWidth="1"/>
    <col min="4" max="4" width="10.6640625" style="2" bestFit="1" customWidth="1"/>
    <col min="5" max="5" width="12.6640625" style="2" bestFit="1" customWidth="1"/>
    <col min="6" max="9" width="9.6640625" style="2" bestFit="1" customWidth="1"/>
    <col min="10" max="13" width="10.5" style="2" bestFit="1" customWidth="1"/>
    <col min="15" max="16384" width="9.33203125" style="2"/>
  </cols>
  <sheetData>
    <row r="1" spans="1:13" ht="15.75">
      <c r="A1" s="1"/>
      <c r="B1" s="110"/>
    </row>
    <row r="2" spans="1:13" ht="17.25" customHeight="1">
      <c r="B2" s="4" t="s">
        <v>142</v>
      </c>
      <c r="C2" s="4"/>
      <c r="D2" s="4"/>
      <c r="E2" s="4"/>
      <c r="F2" s="4"/>
      <c r="G2" s="4"/>
      <c r="H2" s="4"/>
      <c r="I2" s="4"/>
      <c r="J2" s="4"/>
      <c r="K2" s="4"/>
      <c r="L2" s="4"/>
      <c r="M2" s="4"/>
    </row>
    <row r="3" spans="1:13" ht="17.25" customHeight="1">
      <c r="B3" s="62" t="s">
        <v>143</v>
      </c>
      <c r="C3" s="4"/>
      <c r="D3" s="4"/>
      <c r="E3" s="4"/>
      <c r="F3" s="4"/>
      <c r="G3" s="4"/>
      <c r="H3" s="4"/>
      <c r="I3" s="4"/>
      <c r="J3" s="4"/>
      <c r="K3" s="4"/>
      <c r="L3" s="4"/>
      <c r="M3" s="4"/>
    </row>
    <row r="4" spans="1:13" ht="17.25" customHeight="1">
      <c r="B4" s="4" t="s">
        <v>567</v>
      </c>
      <c r="C4" s="4"/>
      <c r="D4" s="4"/>
      <c r="E4" s="4"/>
      <c r="F4" s="4"/>
      <c r="G4" s="4"/>
      <c r="H4" s="4"/>
      <c r="I4" s="4"/>
      <c r="J4" s="4"/>
      <c r="K4" s="4"/>
      <c r="L4" s="4"/>
      <c r="M4" s="4"/>
    </row>
    <row r="5" spans="1:13" ht="17.25" customHeight="1">
      <c r="B5" s="302" t="s">
        <v>133</v>
      </c>
      <c r="C5" s="315" t="s">
        <v>174</v>
      </c>
      <c r="D5" s="40" t="s">
        <v>144</v>
      </c>
      <c r="E5" s="40"/>
      <c r="F5" s="40"/>
      <c r="G5" s="41"/>
      <c r="H5" s="40"/>
      <c r="I5" s="40"/>
      <c r="J5" s="40"/>
      <c r="K5" s="40"/>
      <c r="L5" s="196"/>
      <c r="M5" s="135"/>
    </row>
    <row r="6" spans="1:13" ht="27.75" customHeight="1">
      <c r="B6" s="292"/>
      <c r="C6" s="350"/>
      <c r="D6" s="18" t="s">
        <v>552</v>
      </c>
      <c r="E6" s="197" t="s">
        <v>134</v>
      </c>
      <c r="F6" s="197" t="s">
        <v>135</v>
      </c>
      <c r="G6" s="197" t="s">
        <v>136</v>
      </c>
      <c r="H6" s="197" t="s">
        <v>137</v>
      </c>
      <c r="I6" s="197" t="s">
        <v>138</v>
      </c>
      <c r="J6" s="197" t="s">
        <v>139</v>
      </c>
      <c r="K6" s="197" t="s">
        <v>140</v>
      </c>
      <c r="L6" s="197" t="s">
        <v>141</v>
      </c>
      <c r="M6" s="198" t="s">
        <v>145</v>
      </c>
    </row>
    <row r="7" spans="1:13" ht="20.100000000000001" customHeight="1">
      <c r="B7" s="77" t="s">
        <v>156</v>
      </c>
      <c r="C7" s="78">
        <v>92463</v>
      </c>
      <c r="D7" s="78">
        <v>799</v>
      </c>
      <c r="E7" s="78">
        <f>104+65+107</f>
        <v>276</v>
      </c>
      <c r="F7" s="78">
        <v>996</v>
      </c>
      <c r="G7" s="78">
        <v>1457</v>
      </c>
      <c r="H7" s="78">
        <v>2349</v>
      </c>
      <c r="I7" s="78">
        <v>6239</v>
      </c>
      <c r="J7" s="78">
        <v>12055</v>
      </c>
      <c r="K7" s="78">
        <v>16170</v>
      </c>
      <c r="L7" s="78">
        <v>22073</v>
      </c>
      <c r="M7" s="78">
        <v>30049</v>
      </c>
    </row>
    <row r="8" spans="1:13" ht="12.75" customHeight="1">
      <c r="B8" s="83"/>
      <c r="C8" s="49"/>
      <c r="D8" s="49"/>
      <c r="E8" s="49"/>
      <c r="F8" s="49"/>
      <c r="G8" s="49"/>
      <c r="H8" s="49"/>
      <c r="I8" s="49"/>
      <c r="J8" s="49"/>
      <c r="K8" s="49"/>
      <c r="L8" s="49"/>
      <c r="M8" s="49"/>
    </row>
    <row r="9" spans="1:13" ht="15" customHeight="1">
      <c r="B9" s="88" t="s">
        <v>332</v>
      </c>
      <c r="C9" s="49">
        <v>185</v>
      </c>
      <c r="D9" s="89" t="s">
        <v>284</v>
      </c>
      <c r="E9" s="89" t="s">
        <v>284</v>
      </c>
      <c r="F9" s="89" t="s">
        <v>284</v>
      </c>
      <c r="G9" s="89">
        <v>1</v>
      </c>
      <c r="H9" s="89" t="s">
        <v>284</v>
      </c>
      <c r="I9" s="89">
        <v>14</v>
      </c>
      <c r="J9" s="89">
        <v>25</v>
      </c>
      <c r="K9" s="89">
        <v>38</v>
      </c>
      <c r="L9" s="89">
        <v>55</v>
      </c>
      <c r="M9" s="89">
        <v>52</v>
      </c>
    </row>
    <row r="10" spans="1:13" ht="15" customHeight="1">
      <c r="B10" s="88" t="s">
        <v>333</v>
      </c>
      <c r="C10" s="49">
        <v>102</v>
      </c>
      <c r="D10" s="89" t="s">
        <v>284</v>
      </c>
      <c r="E10" s="89" t="s">
        <v>284</v>
      </c>
      <c r="F10" s="89">
        <v>3</v>
      </c>
      <c r="G10" s="89">
        <v>1</v>
      </c>
      <c r="H10" s="89">
        <v>2</v>
      </c>
      <c r="I10" s="89">
        <v>6</v>
      </c>
      <c r="J10" s="89">
        <v>13</v>
      </c>
      <c r="K10" s="89">
        <v>14</v>
      </c>
      <c r="L10" s="89">
        <v>27</v>
      </c>
      <c r="M10" s="89">
        <v>36</v>
      </c>
    </row>
    <row r="11" spans="1:13" ht="15" customHeight="1">
      <c r="B11" s="88" t="s">
        <v>334</v>
      </c>
      <c r="C11" s="49">
        <v>949</v>
      </c>
      <c r="D11" s="89">
        <v>9</v>
      </c>
      <c r="E11" s="89">
        <v>3</v>
      </c>
      <c r="F11" s="89">
        <v>7</v>
      </c>
      <c r="G11" s="89">
        <v>10</v>
      </c>
      <c r="H11" s="89">
        <v>23</v>
      </c>
      <c r="I11" s="89">
        <v>60</v>
      </c>
      <c r="J11" s="89">
        <v>118</v>
      </c>
      <c r="K11" s="89">
        <v>191</v>
      </c>
      <c r="L11" s="89">
        <v>237</v>
      </c>
      <c r="M11" s="89">
        <v>291</v>
      </c>
    </row>
    <row r="12" spans="1:13" ht="15" customHeight="1">
      <c r="B12" s="88" t="s">
        <v>335</v>
      </c>
      <c r="C12" s="49">
        <v>354</v>
      </c>
      <c r="D12" s="89">
        <v>1</v>
      </c>
      <c r="E12" s="89">
        <v>2</v>
      </c>
      <c r="F12" s="89">
        <v>3</v>
      </c>
      <c r="G12" s="89">
        <v>2</v>
      </c>
      <c r="H12" s="89">
        <v>4</v>
      </c>
      <c r="I12" s="89">
        <v>25</v>
      </c>
      <c r="J12" s="89">
        <v>45</v>
      </c>
      <c r="K12" s="89">
        <v>61</v>
      </c>
      <c r="L12" s="89">
        <v>85</v>
      </c>
      <c r="M12" s="89">
        <v>126</v>
      </c>
    </row>
    <row r="13" spans="1:13" ht="15" customHeight="1">
      <c r="B13" s="88" t="s">
        <v>336</v>
      </c>
      <c r="C13" s="49">
        <v>272</v>
      </c>
      <c r="D13" s="89">
        <v>3</v>
      </c>
      <c r="E13" s="89">
        <v>2</v>
      </c>
      <c r="F13" s="89">
        <v>1</v>
      </c>
      <c r="G13" s="89">
        <v>2</v>
      </c>
      <c r="H13" s="89">
        <v>3</v>
      </c>
      <c r="I13" s="89">
        <v>11</v>
      </c>
      <c r="J13" s="89">
        <v>37</v>
      </c>
      <c r="K13" s="89">
        <v>51</v>
      </c>
      <c r="L13" s="89">
        <v>79</v>
      </c>
      <c r="M13" s="89">
        <v>83</v>
      </c>
    </row>
    <row r="14" spans="1:13" ht="12.75" customHeight="1">
      <c r="B14" s="88"/>
      <c r="C14" s="49"/>
      <c r="D14" s="89"/>
      <c r="E14" s="89"/>
      <c r="F14" s="89"/>
      <c r="G14" s="89"/>
      <c r="H14" s="89"/>
      <c r="I14" s="89"/>
      <c r="J14" s="89"/>
      <c r="K14" s="89"/>
      <c r="L14" s="89"/>
      <c r="M14" s="89"/>
    </row>
    <row r="15" spans="1:13" ht="15" customHeight="1">
      <c r="B15" s="88" t="s">
        <v>337</v>
      </c>
      <c r="C15" s="49">
        <v>221</v>
      </c>
      <c r="D15" s="89">
        <v>4</v>
      </c>
      <c r="E15" s="89" t="s">
        <v>284</v>
      </c>
      <c r="F15" s="89">
        <v>2</v>
      </c>
      <c r="G15" s="89">
        <v>6</v>
      </c>
      <c r="H15" s="89">
        <v>4</v>
      </c>
      <c r="I15" s="89">
        <v>11</v>
      </c>
      <c r="J15" s="89">
        <v>26</v>
      </c>
      <c r="K15" s="89">
        <v>47</v>
      </c>
      <c r="L15" s="89">
        <v>58</v>
      </c>
      <c r="M15" s="89">
        <v>63</v>
      </c>
    </row>
    <row r="16" spans="1:13" ht="15" customHeight="1">
      <c r="B16" s="88" t="s">
        <v>338</v>
      </c>
      <c r="C16" s="49">
        <v>102</v>
      </c>
      <c r="D16" s="89">
        <v>1</v>
      </c>
      <c r="E16" s="89">
        <v>1</v>
      </c>
      <c r="F16" s="89" t="s">
        <v>284</v>
      </c>
      <c r="G16" s="89">
        <v>3</v>
      </c>
      <c r="H16" s="89">
        <v>2</v>
      </c>
      <c r="I16" s="89">
        <v>6</v>
      </c>
      <c r="J16" s="89">
        <v>12</v>
      </c>
      <c r="K16" s="89">
        <v>22</v>
      </c>
      <c r="L16" s="89">
        <v>22</v>
      </c>
      <c r="M16" s="89">
        <v>33</v>
      </c>
    </row>
    <row r="17" spans="2:13" ht="15" customHeight="1">
      <c r="B17" s="88" t="s">
        <v>339</v>
      </c>
      <c r="C17" s="49">
        <v>535</v>
      </c>
      <c r="D17" s="89">
        <v>4</v>
      </c>
      <c r="E17" s="89">
        <v>2</v>
      </c>
      <c r="F17" s="89">
        <v>7</v>
      </c>
      <c r="G17" s="89">
        <v>9</v>
      </c>
      <c r="H17" s="89">
        <v>12</v>
      </c>
      <c r="I17" s="89">
        <v>34</v>
      </c>
      <c r="J17" s="89">
        <v>56</v>
      </c>
      <c r="K17" s="89">
        <v>93</v>
      </c>
      <c r="L17" s="89">
        <v>139</v>
      </c>
      <c r="M17" s="89">
        <v>179</v>
      </c>
    </row>
    <row r="18" spans="2:13" ht="15" customHeight="1">
      <c r="B18" s="88" t="s">
        <v>340</v>
      </c>
      <c r="C18" s="49">
        <v>1159</v>
      </c>
      <c r="D18" s="89">
        <v>2</v>
      </c>
      <c r="E18" s="89">
        <v>1</v>
      </c>
      <c r="F18" s="89">
        <v>10</v>
      </c>
      <c r="G18" s="89">
        <v>12</v>
      </c>
      <c r="H18" s="89">
        <v>19</v>
      </c>
      <c r="I18" s="89">
        <v>70</v>
      </c>
      <c r="J18" s="89">
        <v>144</v>
      </c>
      <c r="K18" s="89">
        <v>198</v>
      </c>
      <c r="L18" s="89">
        <v>291</v>
      </c>
      <c r="M18" s="89">
        <v>412</v>
      </c>
    </row>
    <row r="19" spans="2:13" ht="15" customHeight="1">
      <c r="B19" s="88" t="s">
        <v>341</v>
      </c>
      <c r="C19" s="49">
        <v>217</v>
      </c>
      <c r="D19" s="89">
        <v>2</v>
      </c>
      <c r="E19" s="89" t="s">
        <v>284</v>
      </c>
      <c r="F19" s="89">
        <v>3</v>
      </c>
      <c r="G19" s="89">
        <v>2</v>
      </c>
      <c r="H19" s="89">
        <v>5</v>
      </c>
      <c r="I19" s="89">
        <v>10</v>
      </c>
      <c r="J19" s="89">
        <v>23</v>
      </c>
      <c r="K19" s="89">
        <v>37</v>
      </c>
      <c r="L19" s="89">
        <v>65</v>
      </c>
      <c r="M19" s="89">
        <v>70</v>
      </c>
    </row>
    <row r="20" spans="2:13" ht="12.75" customHeight="1">
      <c r="B20" s="88"/>
      <c r="C20" s="49"/>
      <c r="D20" s="89"/>
      <c r="E20" s="89"/>
      <c r="F20" s="89"/>
      <c r="G20" s="89"/>
      <c r="H20" s="89"/>
      <c r="I20" s="89"/>
      <c r="J20" s="89"/>
      <c r="K20" s="89"/>
      <c r="L20" s="89"/>
      <c r="M20" s="89"/>
    </row>
    <row r="21" spans="2:13" ht="15" customHeight="1">
      <c r="B21" s="88" t="s">
        <v>342</v>
      </c>
      <c r="C21" s="49">
        <v>1641</v>
      </c>
      <c r="D21" s="89">
        <v>14</v>
      </c>
      <c r="E21" s="89">
        <v>4</v>
      </c>
      <c r="F21" s="89">
        <v>16</v>
      </c>
      <c r="G21" s="89">
        <v>25</v>
      </c>
      <c r="H21" s="89">
        <v>35</v>
      </c>
      <c r="I21" s="89">
        <v>100</v>
      </c>
      <c r="J21" s="89">
        <v>184</v>
      </c>
      <c r="K21" s="89">
        <v>287</v>
      </c>
      <c r="L21" s="89">
        <v>399</v>
      </c>
      <c r="M21" s="89">
        <v>577</v>
      </c>
    </row>
    <row r="22" spans="2:13" ht="15" customHeight="1">
      <c r="B22" s="88" t="s">
        <v>343</v>
      </c>
      <c r="C22" s="49">
        <v>459</v>
      </c>
      <c r="D22" s="89">
        <v>3</v>
      </c>
      <c r="E22" s="89">
        <v>2</v>
      </c>
      <c r="F22" s="89">
        <v>9</v>
      </c>
      <c r="G22" s="89">
        <v>2</v>
      </c>
      <c r="H22" s="89">
        <v>9</v>
      </c>
      <c r="I22" s="89">
        <v>33</v>
      </c>
      <c r="J22" s="89">
        <v>57</v>
      </c>
      <c r="K22" s="89">
        <v>83</v>
      </c>
      <c r="L22" s="89">
        <v>135</v>
      </c>
      <c r="M22" s="89">
        <v>126</v>
      </c>
    </row>
    <row r="23" spans="2:13" ht="15" customHeight="1">
      <c r="B23" s="88" t="s">
        <v>344</v>
      </c>
      <c r="C23" s="49">
        <v>1422</v>
      </c>
      <c r="D23" s="89">
        <v>11</v>
      </c>
      <c r="E23" s="89">
        <v>3</v>
      </c>
      <c r="F23" s="89">
        <v>15</v>
      </c>
      <c r="G23" s="89">
        <v>26</v>
      </c>
      <c r="H23" s="89">
        <v>35</v>
      </c>
      <c r="I23" s="89">
        <v>100</v>
      </c>
      <c r="J23" s="89">
        <v>225</v>
      </c>
      <c r="K23" s="89">
        <v>245</v>
      </c>
      <c r="L23" s="89">
        <v>330</v>
      </c>
      <c r="M23" s="89">
        <v>432</v>
      </c>
    </row>
    <row r="24" spans="2:13" ht="15" customHeight="1">
      <c r="B24" s="88" t="s">
        <v>345</v>
      </c>
      <c r="C24" s="49">
        <v>534</v>
      </c>
      <c r="D24" s="89">
        <v>3</v>
      </c>
      <c r="E24" s="89">
        <v>3</v>
      </c>
      <c r="F24" s="89">
        <v>4</v>
      </c>
      <c r="G24" s="89">
        <v>4</v>
      </c>
      <c r="H24" s="89">
        <v>11</v>
      </c>
      <c r="I24" s="89">
        <v>37</v>
      </c>
      <c r="J24" s="89">
        <v>79</v>
      </c>
      <c r="K24" s="89">
        <v>96</v>
      </c>
      <c r="L24" s="89">
        <v>140</v>
      </c>
      <c r="M24" s="89">
        <v>157</v>
      </c>
    </row>
    <row r="25" spans="2:13" ht="15" customHeight="1">
      <c r="B25" s="88" t="s">
        <v>346</v>
      </c>
      <c r="C25" s="49">
        <v>290</v>
      </c>
      <c r="D25" s="89" t="s">
        <v>284</v>
      </c>
      <c r="E25" s="89">
        <v>1</v>
      </c>
      <c r="F25" s="89">
        <v>2</v>
      </c>
      <c r="G25" s="89">
        <v>3</v>
      </c>
      <c r="H25" s="89">
        <v>5</v>
      </c>
      <c r="I25" s="89">
        <v>12</v>
      </c>
      <c r="J25" s="89">
        <v>23</v>
      </c>
      <c r="K25" s="89">
        <v>42</v>
      </c>
      <c r="L25" s="89">
        <v>80</v>
      </c>
      <c r="M25" s="89">
        <v>122</v>
      </c>
    </row>
    <row r="26" spans="2:13" ht="12.75" customHeight="1">
      <c r="B26" s="88"/>
      <c r="C26" s="49"/>
      <c r="D26" s="89"/>
      <c r="E26" s="89"/>
      <c r="F26" s="89"/>
      <c r="G26" s="89"/>
      <c r="H26" s="89"/>
      <c r="I26" s="89"/>
      <c r="J26" s="89"/>
      <c r="K26" s="89"/>
      <c r="L26" s="89"/>
      <c r="M26" s="89"/>
    </row>
    <row r="27" spans="2:13" ht="15" customHeight="1">
      <c r="B27" s="88" t="s">
        <v>347</v>
      </c>
      <c r="C27" s="49">
        <v>285</v>
      </c>
      <c r="D27" s="89" t="s">
        <v>284</v>
      </c>
      <c r="E27" s="89" t="s">
        <v>284</v>
      </c>
      <c r="F27" s="89" t="s">
        <v>284</v>
      </c>
      <c r="G27" s="89">
        <v>2</v>
      </c>
      <c r="H27" s="89">
        <v>3</v>
      </c>
      <c r="I27" s="89">
        <v>20</v>
      </c>
      <c r="J27" s="89">
        <v>19</v>
      </c>
      <c r="K27" s="89">
        <v>70</v>
      </c>
      <c r="L27" s="89">
        <v>80</v>
      </c>
      <c r="M27" s="89">
        <v>91</v>
      </c>
    </row>
    <row r="28" spans="2:13" ht="15" customHeight="1">
      <c r="B28" s="88" t="s">
        <v>348</v>
      </c>
      <c r="C28" s="49">
        <v>348</v>
      </c>
      <c r="D28" s="89">
        <v>2</v>
      </c>
      <c r="E28" s="89">
        <v>3</v>
      </c>
      <c r="F28" s="89">
        <v>1</v>
      </c>
      <c r="G28" s="89">
        <v>4</v>
      </c>
      <c r="H28" s="89">
        <v>8</v>
      </c>
      <c r="I28" s="89">
        <v>28</v>
      </c>
      <c r="J28" s="89">
        <v>40</v>
      </c>
      <c r="K28" s="89">
        <v>64</v>
      </c>
      <c r="L28" s="89">
        <v>87</v>
      </c>
      <c r="M28" s="89">
        <v>111</v>
      </c>
    </row>
    <row r="29" spans="2:13" ht="15" customHeight="1">
      <c r="B29" s="88" t="s">
        <v>349</v>
      </c>
      <c r="C29" s="49">
        <v>373</v>
      </c>
      <c r="D29" s="89">
        <v>1</v>
      </c>
      <c r="E29" s="89">
        <v>2</v>
      </c>
      <c r="F29" s="89">
        <v>1</v>
      </c>
      <c r="G29" s="89">
        <v>2</v>
      </c>
      <c r="H29" s="89">
        <v>6</v>
      </c>
      <c r="I29" s="89">
        <v>27</v>
      </c>
      <c r="J29" s="89">
        <v>49</v>
      </c>
      <c r="K29" s="89">
        <v>103</v>
      </c>
      <c r="L29" s="89">
        <v>97</v>
      </c>
      <c r="M29" s="89">
        <v>85</v>
      </c>
    </row>
    <row r="30" spans="2:13" ht="15" customHeight="1">
      <c r="B30" s="88" t="s">
        <v>350</v>
      </c>
      <c r="C30" s="49">
        <v>624</v>
      </c>
      <c r="D30" s="89">
        <v>2</v>
      </c>
      <c r="E30" s="89">
        <v>3</v>
      </c>
      <c r="F30" s="89">
        <v>5</v>
      </c>
      <c r="G30" s="89">
        <v>7</v>
      </c>
      <c r="H30" s="89">
        <v>9</v>
      </c>
      <c r="I30" s="89">
        <v>42</v>
      </c>
      <c r="J30" s="89">
        <v>74</v>
      </c>
      <c r="K30" s="89">
        <v>116</v>
      </c>
      <c r="L30" s="89">
        <v>154</v>
      </c>
      <c r="M30" s="89">
        <v>212</v>
      </c>
    </row>
    <row r="31" spans="2:13" ht="15" customHeight="1">
      <c r="B31" s="88" t="s">
        <v>351</v>
      </c>
      <c r="C31" s="49">
        <v>170</v>
      </c>
      <c r="D31" s="89">
        <v>1</v>
      </c>
      <c r="E31" s="89">
        <v>1</v>
      </c>
      <c r="F31" s="89">
        <v>4</v>
      </c>
      <c r="G31" s="89">
        <v>4</v>
      </c>
      <c r="H31" s="89">
        <v>2</v>
      </c>
      <c r="I31" s="89">
        <v>11</v>
      </c>
      <c r="J31" s="89">
        <v>25</v>
      </c>
      <c r="K31" s="89">
        <v>33</v>
      </c>
      <c r="L31" s="89">
        <v>44</v>
      </c>
      <c r="M31" s="89">
        <v>45</v>
      </c>
    </row>
    <row r="32" spans="2:13" ht="12.75" customHeight="1">
      <c r="B32" s="88"/>
      <c r="C32" s="49"/>
      <c r="D32" s="89"/>
      <c r="E32" s="89"/>
      <c r="F32" s="89"/>
      <c r="G32" s="89"/>
      <c r="H32" s="89"/>
      <c r="I32" s="89"/>
      <c r="J32" s="89"/>
      <c r="K32" s="89"/>
      <c r="L32" s="89"/>
      <c r="M32" s="89"/>
    </row>
    <row r="33" spans="2:13" ht="15" customHeight="1">
      <c r="B33" s="88" t="s">
        <v>352</v>
      </c>
      <c r="C33" s="49">
        <v>438</v>
      </c>
      <c r="D33" s="89">
        <v>1</v>
      </c>
      <c r="E33" s="89">
        <v>2</v>
      </c>
      <c r="F33" s="89">
        <v>2</v>
      </c>
      <c r="G33" s="89">
        <v>6</v>
      </c>
      <c r="H33" s="89">
        <v>5</v>
      </c>
      <c r="I33" s="89">
        <v>18</v>
      </c>
      <c r="J33" s="89">
        <v>56</v>
      </c>
      <c r="K33" s="89">
        <v>81</v>
      </c>
      <c r="L33" s="89">
        <v>117</v>
      </c>
      <c r="M33" s="89">
        <v>150</v>
      </c>
    </row>
    <row r="34" spans="2:13" ht="15" customHeight="1">
      <c r="B34" s="88" t="s">
        <v>353</v>
      </c>
      <c r="C34" s="49">
        <v>304</v>
      </c>
      <c r="D34" s="89">
        <v>4</v>
      </c>
      <c r="E34" s="89">
        <v>1</v>
      </c>
      <c r="F34" s="89">
        <v>3</v>
      </c>
      <c r="G34" s="89">
        <v>2</v>
      </c>
      <c r="H34" s="89">
        <v>3</v>
      </c>
      <c r="I34" s="89">
        <v>13</v>
      </c>
      <c r="J34" s="89">
        <v>21</v>
      </c>
      <c r="K34" s="89">
        <v>51</v>
      </c>
      <c r="L34" s="89">
        <v>74</v>
      </c>
      <c r="M34" s="89">
        <v>132</v>
      </c>
    </row>
    <row r="35" spans="2:13" ht="15" customHeight="1">
      <c r="B35" s="88" t="s">
        <v>354</v>
      </c>
      <c r="C35" s="49">
        <v>1018</v>
      </c>
      <c r="D35" s="89">
        <v>10</v>
      </c>
      <c r="E35" s="89">
        <v>2</v>
      </c>
      <c r="F35" s="89">
        <v>10</v>
      </c>
      <c r="G35" s="89">
        <v>13</v>
      </c>
      <c r="H35" s="89">
        <v>24</v>
      </c>
      <c r="I35" s="89">
        <v>58</v>
      </c>
      <c r="J35" s="89">
        <v>136</v>
      </c>
      <c r="K35" s="89">
        <v>178</v>
      </c>
      <c r="L35" s="89">
        <v>240</v>
      </c>
      <c r="M35" s="89">
        <v>347</v>
      </c>
    </row>
    <row r="36" spans="2:13" ht="15" customHeight="1">
      <c r="B36" s="88" t="s">
        <v>355</v>
      </c>
      <c r="C36" s="49">
        <v>357</v>
      </c>
      <c r="D36" s="89">
        <v>2</v>
      </c>
      <c r="E36" s="89" t="s">
        <v>284</v>
      </c>
      <c r="F36" s="89">
        <v>3</v>
      </c>
      <c r="G36" s="89">
        <v>1</v>
      </c>
      <c r="H36" s="89">
        <v>3</v>
      </c>
      <c r="I36" s="89">
        <v>18</v>
      </c>
      <c r="J36" s="89">
        <v>36</v>
      </c>
      <c r="K36" s="89">
        <v>59</v>
      </c>
      <c r="L36" s="89">
        <v>86</v>
      </c>
      <c r="M36" s="89">
        <v>149</v>
      </c>
    </row>
    <row r="37" spans="2:13" ht="15" customHeight="1">
      <c r="B37" s="88" t="s">
        <v>356</v>
      </c>
      <c r="C37" s="49">
        <v>4328</v>
      </c>
      <c r="D37" s="89">
        <v>40</v>
      </c>
      <c r="E37" s="89">
        <v>23</v>
      </c>
      <c r="F37" s="89">
        <v>53</v>
      </c>
      <c r="G37" s="89">
        <v>95</v>
      </c>
      <c r="H37" s="89">
        <v>131</v>
      </c>
      <c r="I37" s="89">
        <v>372</v>
      </c>
      <c r="J37" s="89">
        <v>645</v>
      </c>
      <c r="K37" s="89">
        <v>767</v>
      </c>
      <c r="L37" s="89">
        <v>1003</v>
      </c>
      <c r="M37" s="89">
        <v>1199</v>
      </c>
    </row>
    <row r="38" spans="2:13" ht="12.75" customHeight="1">
      <c r="B38" s="88"/>
      <c r="C38" s="49"/>
      <c r="D38" s="89"/>
      <c r="E38" s="89"/>
      <c r="F38" s="89"/>
      <c r="G38" s="89"/>
      <c r="H38" s="89"/>
      <c r="I38" s="89"/>
      <c r="J38" s="89"/>
      <c r="K38" s="89"/>
      <c r="L38" s="89"/>
      <c r="M38" s="89"/>
    </row>
    <row r="39" spans="2:13" ht="15" customHeight="1">
      <c r="B39" s="88" t="s">
        <v>357</v>
      </c>
      <c r="C39" s="49">
        <v>354</v>
      </c>
      <c r="D39" s="89">
        <v>2</v>
      </c>
      <c r="E39" s="89" t="s">
        <v>284</v>
      </c>
      <c r="F39" s="89">
        <v>1</v>
      </c>
      <c r="G39" s="89">
        <v>1</v>
      </c>
      <c r="H39" s="89">
        <v>2</v>
      </c>
      <c r="I39" s="89">
        <v>19</v>
      </c>
      <c r="J39" s="89">
        <v>47</v>
      </c>
      <c r="K39" s="89">
        <v>85</v>
      </c>
      <c r="L39" s="89">
        <v>102</v>
      </c>
      <c r="M39" s="89">
        <v>95</v>
      </c>
    </row>
    <row r="40" spans="2:13" ht="15" customHeight="1">
      <c r="B40" s="88" t="s">
        <v>358</v>
      </c>
      <c r="C40" s="49">
        <v>205</v>
      </c>
      <c r="D40" s="89" t="s">
        <v>284</v>
      </c>
      <c r="E40" s="89" t="s">
        <v>284</v>
      </c>
      <c r="F40" s="89">
        <v>3</v>
      </c>
      <c r="G40" s="89">
        <v>1</v>
      </c>
      <c r="H40" s="89">
        <v>4</v>
      </c>
      <c r="I40" s="89">
        <v>6</v>
      </c>
      <c r="J40" s="89">
        <v>28</v>
      </c>
      <c r="K40" s="89">
        <v>31</v>
      </c>
      <c r="L40" s="89">
        <v>54</v>
      </c>
      <c r="M40" s="89">
        <v>78</v>
      </c>
    </row>
    <row r="41" spans="2:13" ht="15" customHeight="1">
      <c r="B41" s="88" t="s">
        <v>359</v>
      </c>
      <c r="C41" s="49">
        <v>816</v>
      </c>
      <c r="D41" s="89" t="s">
        <v>284</v>
      </c>
      <c r="E41" s="89">
        <v>3</v>
      </c>
      <c r="F41" s="89">
        <v>4</v>
      </c>
      <c r="G41" s="89">
        <v>9</v>
      </c>
      <c r="H41" s="89">
        <v>8</v>
      </c>
      <c r="I41" s="89">
        <v>43</v>
      </c>
      <c r="J41" s="89">
        <v>90</v>
      </c>
      <c r="K41" s="89">
        <v>148</v>
      </c>
      <c r="L41" s="89">
        <v>214</v>
      </c>
      <c r="M41" s="89">
        <v>297</v>
      </c>
    </row>
    <row r="42" spans="2:13" ht="15" customHeight="1">
      <c r="B42" s="88" t="s">
        <v>360</v>
      </c>
      <c r="C42" s="49">
        <v>433</v>
      </c>
      <c r="D42" s="89">
        <v>3</v>
      </c>
      <c r="E42" s="89">
        <v>2</v>
      </c>
      <c r="F42" s="89">
        <v>5</v>
      </c>
      <c r="G42" s="89">
        <v>1</v>
      </c>
      <c r="H42" s="89">
        <v>12</v>
      </c>
      <c r="I42" s="89">
        <v>22</v>
      </c>
      <c r="J42" s="89">
        <v>47</v>
      </c>
      <c r="K42" s="89">
        <v>76</v>
      </c>
      <c r="L42" s="89">
        <v>115</v>
      </c>
      <c r="M42" s="89">
        <v>150</v>
      </c>
    </row>
    <row r="43" spans="2:13" ht="15" customHeight="1">
      <c r="B43" s="88" t="s">
        <v>361</v>
      </c>
      <c r="C43" s="49">
        <v>457</v>
      </c>
      <c r="D43" s="89">
        <v>3</v>
      </c>
      <c r="E43" s="89">
        <v>2</v>
      </c>
      <c r="F43" s="89">
        <v>4</v>
      </c>
      <c r="G43" s="89">
        <v>2</v>
      </c>
      <c r="H43" s="89">
        <v>8</v>
      </c>
      <c r="I43" s="89">
        <v>21</v>
      </c>
      <c r="J43" s="89">
        <v>60</v>
      </c>
      <c r="K43" s="89">
        <v>93</v>
      </c>
      <c r="L43" s="89">
        <v>104</v>
      </c>
      <c r="M43" s="89">
        <v>160</v>
      </c>
    </row>
    <row r="44" spans="2:13" ht="12.75" customHeight="1">
      <c r="B44" s="88"/>
      <c r="C44" s="49"/>
      <c r="D44" s="89"/>
      <c r="E44" s="89"/>
      <c r="F44" s="89"/>
      <c r="G44" s="89"/>
      <c r="H44" s="89"/>
      <c r="I44" s="89"/>
      <c r="J44" s="89"/>
      <c r="K44" s="89"/>
      <c r="L44" s="89"/>
      <c r="M44" s="89"/>
    </row>
    <row r="45" spans="2:13" ht="15" customHeight="1">
      <c r="B45" s="88" t="s">
        <v>362</v>
      </c>
      <c r="C45" s="49">
        <v>361</v>
      </c>
      <c r="D45" s="89">
        <v>3</v>
      </c>
      <c r="E45" s="89">
        <v>1</v>
      </c>
      <c r="F45" s="89">
        <v>1</v>
      </c>
      <c r="G45" s="89">
        <v>2</v>
      </c>
      <c r="H45" s="89">
        <v>3</v>
      </c>
      <c r="I45" s="89">
        <v>15</v>
      </c>
      <c r="J45" s="89">
        <v>38</v>
      </c>
      <c r="K45" s="89">
        <v>67</v>
      </c>
      <c r="L45" s="89">
        <v>90</v>
      </c>
      <c r="M45" s="89">
        <v>141</v>
      </c>
    </row>
    <row r="46" spans="2:13" ht="15" customHeight="1">
      <c r="B46" s="88" t="s">
        <v>363</v>
      </c>
      <c r="C46" s="49">
        <v>418</v>
      </c>
      <c r="D46" s="89" t="s">
        <v>284</v>
      </c>
      <c r="E46" s="89">
        <v>2</v>
      </c>
      <c r="F46" s="89">
        <v>5</v>
      </c>
      <c r="G46" s="89">
        <v>3</v>
      </c>
      <c r="H46" s="89">
        <v>8</v>
      </c>
      <c r="I46" s="89">
        <v>16</v>
      </c>
      <c r="J46" s="89">
        <v>48</v>
      </c>
      <c r="K46" s="89">
        <v>72</v>
      </c>
      <c r="L46" s="89">
        <v>97</v>
      </c>
      <c r="M46" s="89">
        <v>167</v>
      </c>
    </row>
    <row r="47" spans="2:13" ht="15" customHeight="1">
      <c r="B47" s="88" t="s">
        <v>364</v>
      </c>
      <c r="C47" s="49">
        <v>2133</v>
      </c>
      <c r="D47" s="89">
        <v>28</v>
      </c>
      <c r="E47" s="89">
        <v>12</v>
      </c>
      <c r="F47" s="89">
        <v>30</v>
      </c>
      <c r="G47" s="89">
        <v>35</v>
      </c>
      <c r="H47" s="89">
        <v>65</v>
      </c>
      <c r="I47" s="89">
        <v>160</v>
      </c>
      <c r="J47" s="89">
        <v>304</v>
      </c>
      <c r="K47" s="89">
        <v>326</v>
      </c>
      <c r="L47" s="89">
        <v>453</v>
      </c>
      <c r="M47" s="89">
        <v>720</v>
      </c>
    </row>
    <row r="48" spans="2:13" ht="15" customHeight="1">
      <c r="B48" s="88" t="s">
        <v>365</v>
      </c>
      <c r="C48" s="49">
        <v>520</v>
      </c>
      <c r="D48" s="89">
        <v>5</v>
      </c>
      <c r="E48" s="89">
        <v>2</v>
      </c>
      <c r="F48" s="89">
        <v>6</v>
      </c>
      <c r="G48" s="89">
        <v>6</v>
      </c>
      <c r="H48" s="89">
        <v>11</v>
      </c>
      <c r="I48" s="89">
        <v>49</v>
      </c>
      <c r="J48" s="89">
        <v>65</v>
      </c>
      <c r="K48" s="89">
        <v>94</v>
      </c>
      <c r="L48" s="89">
        <v>139</v>
      </c>
      <c r="M48" s="89">
        <v>143</v>
      </c>
    </row>
    <row r="49" spans="2:13" ht="15" customHeight="1">
      <c r="B49" s="88" t="s">
        <v>366</v>
      </c>
      <c r="C49" s="49">
        <v>454</v>
      </c>
      <c r="D49" s="89">
        <v>1</v>
      </c>
      <c r="E49" s="89">
        <v>1</v>
      </c>
      <c r="F49" s="89">
        <v>5</v>
      </c>
      <c r="G49" s="89">
        <v>7</v>
      </c>
      <c r="H49" s="89">
        <v>6</v>
      </c>
      <c r="I49" s="89">
        <v>24</v>
      </c>
      <c r="J49" s="89">
        <v>43</v>
      </c>
      <c r="K49" s="89">
        <v>94</v>
      </c>
      <c r="L49" s="89">
        <v>125</v>
      </c>
      <c r="M49" s="89">
        <v>148</v>
      </c>
    </row>
    <row r="50" spans="2:13" ht="12.75" customHeight="1">
      <c r="B50" s="88"/>
      <c r="C50" s="49"/>
      <c r="D50" s="89"/>
      <c r="E50" s="89"/>
      <c r="F50" s="89"/>
      <c r="G50" s="89"/>
      <c r="H50" s="89"/>
      <c r="I50" s="89"/>
      <c r="J50" s="89"/>
      <c r="K50" s="89"/>
      <c r="L50" s="89"/>
      <c r="M50" s="89"/>
    </row>
    <row r="51" spans="2:13" ht="15" customHeight="1">
      <c r="B51" s="88" t="s">
        <v>367</v>
      </c>
      <c r="C51" s="49">
        <v>189</v>
      </c>
      <c r="D51" s="89" t="s">
        <v>284</v>
      </c>
      <c r="E51" s="89" t="s">
        <v>284</v>
      </c>
      <c r="F51" s="89">
        <v>1</v>
      </c>
      <c r="G51" s="89">
        <v>1</v>
      </c>
      <c r="H51" s="89">
        <v>1</v>
      </c>
      <c r="I51" s="89">
        <v>7</v>
      </c>
      <c r="J51" s="89">
        <v>25</v>
      </c>
      <c r="K51" s="89">
        <v>30</v>
      </c>
      <c r="L51" s="89">
        <v>43</v>
      </c>
      <c r="M51" s="89">
        <v>81</v>
      </c>
    </row>
    <row r="52" spans="2:13" ht="15" customHeight="1">
      <c r="B52" s="88" t="s">
        <v>368</v>
      </c>
      <c r="C52" s="49">
        <v>434</v>
      </c>
      <c r="D52" s="89">
        <v>2</v>
      </c>
      <c r="E52" s="89" t="s">
        <v>284</v>
      </c>
      <c r="F52" s="89">
        <v>7</v>
      </c>
      <c r="G52" s="89">
        <v>11</v>
      </c>
      <c r="H52" s="89">
        <v>14</v>
      </c>
      <c r="I52" s="89">
        <v>27</v>
      </c>
      <c r="J52" s="89">
        <v>54</v>
      </c>
      <c r="K52" s="89">
        <v>80</v>
      </c>
      <c r="L52" s="89">
        <v>98</v>
      </c>
      <c r="M52" s="89">
        <v>141</v>
      </c>
    </row>
    <row r="53" spans="2:13" ht="15" customHeight="1">
      <c r="B53" s="88" t="s">
        <v>369</v>
      </c>
      <c r="C53" s="49">
        <v>1664</v>
      </c>
      <c r="D53" s="89">
        <v>15</v>
      </c>
      <c r="E53" s="89">
        <v>1</v>
      </c>
      <c r="F53" s="89">
        <v>13</v>
      </c>
      <c r="G53" s="89">
        <v>15</v>
      </c>
      <c r="H53" s="89">
        <v>43</v>
      </c>
      <c r="I53" s="89">
        <v>112</v>
      </c>
      <c r="J53" s="89">
        <v>209</v>
      </c>
      <c r="K53" s="89">
        <v>294</v>
      </c>
      <c r="L53" s="89">
        <v>433</v>
      </c>
      <c r="M53" s="89">
        <v>529</v>
      </c>
    </row>
    <row r="54" spans="2:13" ht="15" customHeight="1">
      <c r="B54" s="88" t="s">
        <v>370</v>
      </c>
      <c r="C54" s="49">
        <v>2069</v>
      </c>
      <c r="D54" s="89">
        <v>26</v>
      </c>
      <c r="E54" s="89">
        <v>11</v>
      </c>
      <c r="F54" s="89">
        <v>23</v>
      </c>
      <c r="G54" s="89">
        <v>34</v>
      </c>
      <c r="H54" s="89">
        <v>49</v>
      </c>
      <c r="I54" s="89">
        <v>128</v>
      </c>
      <c r="J54" s="89">
        <v>248</v>
      </c>
      <c r="K54" s="89">
        <v>340</v>
      </c>
      <c r="L54" s="89">
        <v>469</v>
      </c>
      <c r="M54" s="89">
        <v>741</v>
      </c>
    </row>
    <row r="55" spans="2:13" ht="15" customHeight="1">
      <c r="B55" s="88" t="s">
        <v>371</v>
      </c>
      <c r="C55" s="49">
        <v>193</v>
      </c>
      <c r="D55" s="89">
        <v>2</v>
      </c>
      <c r="E55" s="89">
        <v>1</v>
      </c>
      <c r="F55" s="89">
        <v>4</v>
      </c>
      <c r="G55" s="89">
        <v>2</v>
      </c>
      <c r="H55" s="89">
        <v>5</v>
      </c>
      <c r="I55" s="89">
        <v>14</v>
      </c>
      <c r="J55" s="89">
        <v>27</v>
      </c>
      <c r="K55" s="89">
        <v>40</v>
      </c>
      <c r="L55" s="89">
        <v>48</v>
      </c>
      <c r="M55" s="89">
        <v>50</v>
      </c>
    </row>
    <row r="56" spans="2:13" ht="12.75" customHeight="1">
      <c r="B56" s="11"/>
      <c r="C56" s="11"/>
      <c r="D56" s="89"/>
      <c r="E56" s="89"/>
      <c r="F56" s="89"/>
      <c r="G56" s="89"/>
      <c r="H56" s="89"/>
      <c r="I56" s="89"/>
      <c r="J56" s="89"/>
      <c r="K56" s="89"/>
      <c r="L56" s="89"/>
      <c r="M56" s="89"/>
    </row>
    <row r="57" spans="2:13">
      <c r="B57" s="88" t="s">
        <v>372</v>
      </c>
      <c r="C57" s="89">
        <v>4460</v>
      </c>
      <c r="D57" s="89">
        <v>39</v>
      </c>
      <c r="E57" s="89">
        <v>17</v>
      </c>
      <c r="F57" s="89">
        <v>51</v>
      </c>
      <c r="G57" s="89">
        <v>63</v>
      </c>
      <c r="H57" s="89">
        <v>108</v>
      </c>
      <c r="I57" s="89">
        <v>342</v>
      </c>
      <c r="J57" s="89">
        <v>541</v>
      </c>
      <c r="K57" s="89">
        <v>694</v>
      </c>
      <c r="L57" s="89">
        <v>1036</v>
      </c>
      <c r="M57" s="89">
        <v>1569</v>
      </c>
    </row>
    <row r="58" spans="2:13">
      <c r="B58" s="88" t="s">
        <v>373</v>
      </c>
      <c r="C58" s="89">
        <v>22</v>
      </c>
      <c r="D58" s="89" t="s">
        <v>284</v>
      </c>
      <c r="E58" s="89" t="s">
        <v>284</v>
      </c>
      <c r="F58" s="89" t="s">
        <v>284</v>
      </c>
      <c r="G58" s="89" t="s">
        <v>284</v>
      </c>
      <c r="H58" s="89" t="s">
        <v>284</v>
      </c>
      <c r="I58" s="89" t="s">
        <v>284</v>
      </c>
      <c r="J58" s="89">
        <v>2</v>
      </c>
      <c r="K58" s="89">
        <v>5</v>
      </c>
      <c r="L58" s="89">
        <v>9</v>
      </c>
      <c r="M58" s="89">
        <v>6</v>
      </c>
    </row>
    <row r="59" spans="2:13">
      <c r="B59" s="88" t="s">
        <v>374</v>
      </c>
      <c r="C59" s="89">
        <v>159</v>
      </c>
      <c r="D59" s="89" t="s">
        <v>284</v>
      </c>
      <c r="E59" s="89">
        <v>2</v>
      </c>
      <c r="F59" s="89" t="s">
        <v>284</v>
      </c>
      <c r="G59" s="89" t="s">
        <v>284</v>
      </c>
      <c r="H59" s="89">
        <v>1</v>
      </c>
      <c r="I59" s="89">
        <v>9</v>
      </c>
      <c r="J59" s="89">
        <v>21</v>
      </c>
      <c r="K59" s="89">
        <v>47</v>
      </c>
      <c r="L59" s="89">
        <v>37</v>
      </c>
      <c r="M59" s="89">
        <v>42</v>
      </c>
    </row>
    <row r="60" spans="2:13">
      <c r="B60" s="88" t="s">
        <v>375</v>
      </c>
      <c r="C60" s="89">
        <v>767</v>
      </c>
      <c r="D60" s="89">
        <v>4</v>
      </c>
      <c r="E60" s="89">
        <v>4</v>
      </c>
      <c r="F60" s="89">
        <v>8</v>
      </c>
      <c r="G60" s="89">
        <v>18</v>
      </c>
      <c r="H60" s="89">
        <v>16</v>
      </c>
      <c r="I60" s="89">
        <v>49</v>
      </c>
      <c r="J60" s="89">
        <v>98</v>
      </c>
      <c r="K60" s="89">
        <v>146</v>
      </c>
      <c r="L60" s="89">
        <v>199</v>
      </c>
      <c r="M60" s="89">
        <v>225</v>
      </c>
    </row>
    <row r="61" spans="2:13">
      <c r="B61" s="88" t="s">
        <v>376</v>
      </c>
      <c r="C61" s="89">
        <v>276</v>
      </c>
      <c r="D61" s="89">
        <v>1</v>
      </c>
      <c r="E61" s="89" t="s">
        <v>284</v>
      </c>
      <c r="F61" s="89" t="s">
        <v>284</v>
      </c>
      <c r="G61" s="89" t="s">
        <v>284</v>
      </c>
      <c r="H61" s="89">
        <v>2</v>
      </c>
      <c r="I61" s="89">
        <v>9</v>
      </c>
      <c r="J61" s="89">
        <v>28</v>
      </c>
      <c r="K61" s="89">
        <v>44</v>
      </c>
      <c r="L61" s="89">
        <v>74</v>
      </c>
      <c r="M61" s="89">
        <v>118</v>
      </c>
    </row>
    <row r="62" spans="2:13">
      <c r="B62" s="88"/>
      <c r="C62" s="89"/>
      <c r="D62" s="89"/>
      <c r="E62" s="89"/>
      <c r="F62" s="89"/>
      <c r="G62" s="89"/>
      <c r="H62" s="89"/>
      <c r="I62" s="89"/>
      <c r="J62" s="89"/>
      <c r="K62" s="89"/>
      <c r="L62" s="89"/>
      <c r="M62" s="89"/>
    </row>
    <row r="63" spans="2:13">
      <c r="B63" s="88" t="s">
        <v>377</v>
      </c>
      <c r="C63" s="89">
        <v>1004</v>
      </c>
      <c r="D63" s="89">
        <v>9</v>
      </c>
      <c r="E63" s="89">
        <v>2</v>
      </c>
      <c r="F63" s="89">
        <v>9</v>
      </c>
      <c r="G63" s="89">
        <v>9</v>
      </c>
      <c r="H63" s="89">
        <v>25</v>
      </c>
      <c r="I63" s="89">
        <v>51</v>
      </c>
      <c r="J63" s="89">
        <v>127</v>
      </c>
      <c r="K63" s="89">
        <v>174</v>
      </c>
      <c r="L63" s="89">
        <v>241</v>
      </c>
      <c r="M63" s="89">
        <v>357</v>
      </c>
    </row>
    <row r="64" spans="2:13">
      <c r="B64" s="88" t="s">
        <v>378</v>
      </c>
      <c r="C64" s="89">
        <v>1340</v>
      </c>
      <c r="D64" s="89">
        <v>7</v>
      </c>
      <c r="E64" s="89">
        <v>3</v>
      </c>
      <c r="F64" s="89">
        <v>18</v>
      </c>
      <c r="G64" s="89">
        <v>24</v>
      </c>
      <c r="H64" s="89">
        <v>48</v>
      </c>
      <c r="I64" s="89">
        <v>89</v>
      </c>
      <c r="J64" s="89">
        <v>141</v>
      </c>
      <c r="K64" s="89">
        <v>246</v>
      </c>
      <c r="L64" s="89">
        <v>332</v>
      </c>
      <c r="M64" s="89">
        <v>432</v>
      </c>
    </row>
    <row r="65" spans="2:13">
      <c r="B65" s="88" t="s">
        <v>379</v>
      </c>
      <c r="C65" s="89">
        <v>61</v>
      </c>
      <c r="D65" s="89" t="s">
        <v>284</v>
      </c>
      <c r="E65" s="89" t="s">
        <v>284</v>
      </c>
      <c r="F65" s="89">
        <v>1</v>
      </c>
      <c r="G65" s="89">
        <v>1</v>
      </c>
      <c r="H65" s="89">
        <v>1</v>
      </c>
      <c r="I65" s="89">
        <v>3</v>
      </c>
      <c r="J65" s="89">
        <v>3</v>
      </c>
      <c r="K65" s="89">
        <v>15</v>
      </c>
      <c r="L65" s="89">
        <v>19</v>
      </c>
      <c r="M65" s="89">
        <v>18</v>
      </c>
    </row>
    <row r="66" spans="2:13">
      <c r="B66" s="88" t="s">
        <v>380</v>
      </c>
      <c r="C66" s="89">
        <v>148</v>
      </c>
      <c r="D66" s="89" t="s">
        <v>284</v>
      </c>
      <c r="E66" s="89" t="s">
        <v>284</v>
      </c>
      <c r="F66" s="89">
        <v>1</v>
      </c>
      <c r="G66" s="89" t="s">
        <v>284</v>
      </c>
      <c r="H66" s="89">
        <v>4</v>
      </c>
      <c r="I66" s="89">
        <v>6</v>
      </c>
      <c r="J66" s="89">
        <v>21</v>
      </c>
      <c r="K66" s="89">
        <v>28</v>
      </c>
      <c r="L66" s="89">
        <v>34</v>
      </c>
      <c r="M66" s="89">
        <v>54</v>
      </c>
    </row>
    <row r="67" spans="2:13">
      <c r="B67" s="88" t="s">
        <v>381</v>
      </c>
      <c r="C67" s="89">
        <v>8499</v>
      </c>
      <c r="D67" s="89">
        <v>67</v>
      </c>
      <c r="E67" s="89">
        <v>11</v>
      </c>
      <c r="F67" s="89">
        <v>92</v>
      </c>
      <c r="G67" s="89">
        <v>150</v>
      </c>
      <c r="H67" s="89">
        <v>245</v>
      </c>
      <c r="I67" s="89">
        <v>534</v>
      </c>
      <c r="J67" s="89">
        <v>1003</v>
      </c>
      <c r="K67" s="89">
        <v>1371</v>
      </c>
      <c r="L67" s="89">
        <v>2160</v>
      </c>
      <c r="M67" s="89">
        <v>2866</v>
      </c>
    </row>
    <row r="68" spans="2:13">
      <c r="B68" s="88"/>
      <c r="C68" s="89"/>
      <c r="D68" s="89"/>
      <c r="E68" s="89"/>
      <c r="F68" s="89"/>
      <c r="G68" s="89"/>
      <c r="H68" s="89"/>
      <c r="I68" s="89"/>
      <c r="J68" s="89"/>
      <c r="K68" s="89"/>
      <c r="L68" s="89"/>
      <c r="M68" s="89"/>
    </row>
    <row r="69" spans="2:13">
      <c r="B69" s="88" t="s">
        <v>382</v>
      </c>
      <c r="C69" s="89">
        <v>317</v>
      </c>
      <c r="D69" s="89" t="s">
        <v>284</v>
      </c>
      <c r="E69" s="89" t="s">
        <v>284</v>
      </c>
      <c r="F69" s="89">
        <v>2</v>
      </c>
      <c r="G69" s="89">
        <v>3</v>
      </c>
      <c r="H69" s="89">
        <v>4</v>
      </c>
      <c r="I69" s="89">
        <v>12</v>
      </c>
      <c r="J69" s="89">
        <v>39</v>
      </c>
      <c r="K69" s="89">
        <v>57</v>
      </c>
      <c r="L69" s="89">
        <v>82</v>
      </c>
      <c r="M69" s="89">
        <v>118</v>
      </c>
    </row>
    <row r="70" spans="2:13">
      <c r="B70" s="88" t="s">
        <v>383</v>
      </c>
      <c r="C70" s="89">
        <v>644</v>
      </c>
      <c r="D70" s="89">
        <v>2</v>
      </c>
      <c r="E70" s="89" t="s">
        <v>284</v>
      </c>
      <c r="F70" s="89">
        <v>3</v>
      </c>
      <c r="G70" s="89">
        <v>9</v>
      </c>
      <c r="H70" s="89">
        <v>18</v>
      </c>
      <c r="I70" s="89">
        <v>33</v>
      </c>
      <c r="J70" s="89">
        <v>77</v>
      </c>
      <c r="K70" s="89">
        <v>119</v>
      </c>
      <c r="L70" s="89">
        <v>155</v>
      </c>
      <c r="M70" s="89">
        <v>228</v>
      </c>
    </row>
    <row r="71" spans="2:13">
      <c r="B71" s="88" t="s">
        <v>384</v>
      </c>
      <c r="C71" s="89">
        <v>349</v>
      </c>
      <c r="D71" s="89" t="s">
        <v>284</v>
      </c>
      <c r="E71" s="89">
        <v>1</v>
      </c>
      <c r="F71" s="89">
        <v>1</v>
      </c>
      <c r="G71" s="89">
        <v>4</v>
      </c>
      <c r="H71" s="89">
        <v>8</v>
      </c>
      <c r="I71" s="89">
        <v>25</v>
      </c>
      <c r="J71" s="89">
        <v>45</v>
      </c>
      <c r="K71" s="89">
        <v>50</v>
      </c>
      <c r="L71" s="89">
        <v>84</v>
      </c>
      <c r="M71" s="89">
        <v>131</v>
      </c>
    </row>
    <row r="72" spans="2:13">
      <c r="B72" s="88" t="s">
        <v>385</v>
      </c>
      <c r="C72" s="89">
        <v>405</v>
      </c>
      <c r="D72" s="89">
        <v>5</v>
      </c>
      <c r="E72" s="89" t="s">
        <v>284</v>
      </c>
      <c r="F72" s="89">
        <v>2</v>
      </c>
      <c r="G72" s="89">
        <v>3</v>
      </c>
      <c r="H72" s="89">
        <v>10</v>
      </c>
      <c r="I72" s="89">
        <v>30</v>
      </c>
      <c r="J72" s="89">
        <v>56</v>
      </c>
      <c r="K72" s="89">
        <v>70</v>
      </c>
      <c r="L72" s="89">
        <v>106</v>
      </c>
      <c r="M72" s="89">
        <v>123</v>
      </c>
    </row>
    <row r="73" spans="2:13">
      <c r="B73" s="88" t="s">
        <v>386</v>
      </c>
      <c r="C73" s="89">
        <v>273</v>
      </c>
      <c r="D73" s="89" t="s">
        <v>284</v>
      </c>
      <c r="E73" s="89">
        <v>2</v>
      </c>
      <c r="F73" s="89">
        <v>3</v>
      </c>
      <c r="G73" s="89">
        <v>1</v>
      </c>
      <c r="H73" s="89">
        <v>6</v>
      </c>
      <c r="I73" s="89">
        <v>17</v>
      </c>
      <c r="J73" s="89">
        <v>32</v>
      </c>
      <c r="K73" s="89">
        <v>53</v>
      </c>
      <c r="L73" s="89">
        <v>63</v>
      </c>
      <c r="M73" s="89">
        <v>96</v>
      </c>
    </row>
    <row r="74" spans="2:13">
      <c r="B74" s="88"/>
      <c r="C74" s="89"/>
      <c r="D74" s="89"/>
      <c r="E74" s="89"/>
      <c r="F74" s="89"/>
      <c r="G74" s="89"/>
      <c r="H74" s="89"/>
      <c r="I74" s="89"/>
      <c r="J74" s="89"/>
      <c r="K74" s="89"/>
      <c r="L74" s="89"/>
      <c r="M74" s="89"/>
    </row>
    <row r="75" spans="2:13">
      <c r="B75" s="88" t="s">
        <v>387</v>
      </c>
      <c r="C75" s="89">
        <v>715</v>
      </c>
      <c r="D75" s="89">
        <v>7</v>
      </c>
      <c r="E75" s="89">
        <v>3</v>
      </c>
      <c r="F75" s="89">
        <v>9</v>
      </c>
      <c r="G75" s="89">
        <v>7</v>
      </c>
      <c r="H75" s="89">
        <v>10</v>
      </c>
      <c r="I75" s="89">
        <v>34</v>
      </c>
      <c r="J75" s="89">
        <v>72</v>
      </c>
      <c r="K75" s="89">
        <v>116</v>
      </c>
      <c r="L75" s="89">
        <v>159</v>
      </c>
      <c r="M75" s="89">
        <v>298</v>
      </c>
    </row>
    <row r="76" spans="2:13">
      <c r="B76" s="88" t="s">
        <v>388</v>
      </c>
      <c r="C76" s="89">
        <v>164</v>
      </c>
      <c r="D76" s="89" t="s">
        <v>284</v>
      </c>
      <c r="E76" s="89" t="s">
        <v>284</v>
      </c>
      <c r="F76" s="89">
        <v>2</v>
      </c>
      <c r="G76" s="89">
        <v>1</v>
      </c>
      <c r="H76" s="89">
        <v>5</v>
      </c>
      <c r="I76" s="89">
        <v>12</v>
      </c>
      <c r="J76" s="89">
        <v>19</v>
      </c>
      <c r="K76" s="89">
        <v>29</v>
      </c>
      <c r="L76" s="89">
        <v>45</v>
      </c>
      <c r="M76" s="89">
        <v>51</v>
      </c>
    </row>
    <row r="77" spans="2:13">
      <c r="B77" s="88" t="s">
        <v>389</v>
      </c>
      <c r="C77" s="89">
        <v>1426</v>
      </c>
      <c r="D77" s="89">
        <v>15</v>
      </c>
      <c r="E77" s="89">
        <v>5</v>
      </c>
      <c r="F77" s="89">
        <v>10</v>
      </c>
      <c r="G77" s="89">
        <v>29</v>
      </c>
      <c r="H77" s="89">
        <v>40</v>
      </c>
      <c r="I77" s="89">
        <v>121</v>
      </c>
      <c r="J77" s="89">
        <v>173</v>
      </c>
      <c r="K77" s="89">
        <v>285</v>
      </c>
      <c r="L77" s="89">
        <v>337</v>
      </c>
      <c r="M77" s="89">
        <v>411</v>
      </c>
    </row>
    <row r="78" spans="2:13">
      <c r="B78" s="88" t="s">
        <v>390</v>
      </c>
      <c r="C78" s="89">
        <v>617</v>
      </c>
      <c r="D78" s="89">
        <v>5</v>
      </c>
      <c r="E78" s="89">
        <v>1</v>
      </c>
      <c r="F78" s="89">
        <v>3</v>
      </c>
      <c r="G78" s="89">
        <v>9</v>
      </c>
      <c r="H78" s="89">
        <v>14</v>
      </c>
      <c r="I78" s="89">
        <v>43</v>
      </c>
      <c r="J78" s="89">
        <v>86</v>
      </c>
      <c r="K78" s="89">
        <v>125</v>
      </c>
      <c r="L78" s="89">
        <v>150</v>
      </c>
      <c r="M78" s="89">
        <v>181</v>
      </c>
    </row>
    <row r="79" spans="2:13">
      <c r="B79" s="88" t="s">
        <v>391</v>
      </c>
      <c r="C79" s="89">
        <v>192</v>
      </c>
      <c r="D79" s="89" t="s">
        <v>284</v>
      </c>
      <c r="E79" s="89">
        <v>1</v>
      </c>
      <c r="F79" s="89">
        <v>3</v>
      </c>
      <c r="G79" s="89">
        <v>3</v>
      </c>
      <c r="H79" s="89">
        <v>1</v>
      </c>
      <c r="I79" s="89">
        <v>6</v>
      </c>
      <c r="J79" s="89">
        <v>25</v>
      </c>
      <c r="K79" s="89">
        <v>38</v>
      </c>
      <c r="L79" s="89">
        <v>59</v>
      </c>
      <c r="M79" s="89">
        <v>56</v>
      </c>
    </row>
    <row r="80" spans="2:13">
      <c r="B80" s="88"/>
      <c r="C80" s="89"/>
      <c r="D80" s="89"/>
      <c r="E80" s="89"/>
      <c r="F80" s="89"/>
      <c r="G80" s="89"/>
      <c r="H80" s="89"/>
      <c r="I80" s="89"/>
      <c r="J80" s="89"/>
      <c r="K80" s="89"/>
      <c r="L80" s="89"/>
      <c r="M80" s="89"/>
    </row>
    <row r="81" spans="2:13">
      <c r="B81" s="88" t="s">
        <v>392</v>
      </c>
      <c r="C81" s="89">
        <v>1702</v>
      </c>
      <c r="D81" s="89">
        <v>19</v>
      </c>
      <c r="E81" s="89">
        <v>3</v>
      </c>
      <c r="F81" s="89">
        <v>18</v>
      </c>
      <c r="G81" s="89">
        <v>21</v>
      </c>
      <c r="H81" s="89">
        <v>41</v>
      </c>
      <c r="I81" s="89">
        <v>122</v>
      </c>
      <c r="J81" s="89">
        <v>217</v>
      </c>
      <c r="K81" s="89">
        <v>303</v>
      </c>
      <c r="L81" s="89">
        <v>403</v>
      </c>
      <c r="M81" s="89">
        <v>555</v>
      </c>
    </row>
    <row r="82" spans="2:13">
      <c r="B82" s="88" t="s">
        <v>393</v>
      </c>
      <c r="C82" s="89">
        <v>458</v>
      </c>
      <c r="D82" s="89">
        <v>3</v>
      </c>
      <c r="E82" s="89">
        <v>3</v>
      </c>
      <c r="F82" s="89">
        <v>3</v>
      </c>
      <c r="G82" s="89">
        <v>7</v>
      </c>
      <c r="H82" s="89">
        <v>8</v>
      </c>
      <c r="I82" s="89">
        <v>21</v>
      </c>
      <c r="J82" s="89">
        <v>72</v>
      </c>
      <c r="K82" s="89">
        <v>102</v>
      </c>
      <c r="L82" s="89">
        <v>121</v>
      </c>
      <c r="M82" s="89">
        <v>118</v>
      </c>
    </row>
    <row r="83" spans="2:13">
      <c r="B83" s="88" t="s">
        <v>394</v>
      </c>
      <c r="C83" s="89">
        <v>9898</v>
      </c>
      <c r="D83" s="89">
        <v>90</v>
      </c>
      <c r="E83" s="89">
        <v>12</v>
      </c>
      <c r="F83" s="89">
        <v>88</v>
      </c>
      <c r="G83" s="89">
        <v>148</v>
      </c>
      <c r="H83" s="89">
        <v>221</v>
      </c>
      <c r="I83" s="89">
        <v>629</v>
      </c>
      <c r="J83" s="89">
        <v>1206</v>
      </c>
      <c r="K83" s="89">
        <v>1616</v>
      </c>
      <c r="L83" s="89">
        <v>2330</v>
      </c>
      <c r="M83" s="89">
        <v>3558</v>
      </c>
    </row>
    <row r="84" spans="2:13">
      <c r="B84" s="88" t="s">
        <v>395</v>
      </c>
      <c r="C84" s="89">
        <v>260</v>
      </c>
      <c r="D84" s="89">
        <v>1</v>
      </c>
      <c r="E84" s="89" t="s">
        <v>284</v>
      </c>
      <c r="F84" s="89">
        <v>3</v>
      </c>
      <c r="G84" s="89">
        <v>5</v>
      </c>
      <c r="H84" s="89">
        <v>7</v>
      </c>
      <c r="I84" s="89">
        <v>12</v>
      </c>
      <c r="J84" s="89">
        <v>28</v>
      </c>
      <c r="K84" s="89">
        <v>48</v>
      </c>
      <c r="L84" s="89">
        <v>67</v>
      </c>
      <c r="M84" s="89">
        <v>89</v>
      </c>
    </row>
    <row r="85" spans="2:13">
      <c r="B85" s="88" t="s">
        <v>396</v>
      </c>
      <c r="C85" s="89">
        <v>327</v>
      </c>
      <c r="D85" s="89" t="s">
        <v>284</v>
      </c>
      <c r="E85" s="89">
        <v>1</v>
      </c>
      <c r="F85" s="89">
        <v>1</v>
      </c>
      <c r="G85" s="89">
        <v>3</v>
      </c>
      <c r="H85" s="89">
        <v>6</v>
      </c>
      <c r="I85" s="89">
        <v>13</v>
      </c>
      <c r="J85" s="89">
        <v>49</v>
      </c>
      <c r="K85" s="89">
        <v>71</v>
      </c>
      <c r="L85" s="89">
        <v>95</v>
      </c>
      <c r="M85" s="89">
        <v>88</v>
      </c>
    </row>
    <row r="86" spans="2:13">
      <c r="B86" s="88"/>
      <c r="C86" s="89"/>
      <c r="D86" s="89"/>
      <c r="E86" s="89"/>
      <c r="F86" s="89"/>
      <c r="G86" s="89"/>
      <c r="H86" s="89"/>
      <c r="I86" s="89"/>
      <c r="J86" s="89"/>
      <c r="K86" s="89"/>
      <c r="L86" s="89"/>
      <c r="M86" s="89"/>
    </row>
    <row r="87" spans="2:13">
      <c r="B87" s="88" t="s">
        <v>397</v>
      </c>
      <c r="C87" s="89">
        <v>88</v>
      </c>
      <c r="D87" s="89">
        <v>1</v>
      </c>
      <c r="E87" s="89" t="s">
        <v>284</v>
      </c>
      <c r="F87" s="89" t="s">
        <v>284</v>
      </c>
      <c r="G87" s="89">
        <v>1</v>
      </c>
      <c r="H87" s="89">
        <v>2</v>
      </c>
      <c r="I87" s="89">
        <v>5</v>
      </c>
      <c r="J87" s="89">
        <v>12</v>
      </c>
      <c r="K87" s="89">
        <v>19</v>
      </c>
      <c r="L87" s="89">
        <v>25</v>
      </c>
      <c r="M87" s="89">
        <v>23</v>
      </c>
    </row>
    <row r="88" spans="2:13">
      <c r="B88" s="88" t="s">
        <v>398</v>
      </c>
      <c r="C88" s="89">
        <v>225</v>
      </c>
      <c r="D88" s="89">
        <v>1</v>
      </c>
      <c r="E88" s="89" t="s">
        <v>284</v>
      </c>
      <c r="F88" s="89">
        <v>4</v>
      </c>
      <c r="G88" s="89">
        <v>3</v>
      </c>
      <c r="H88" s="89">
        <v>4</v>
      </c>
      <c r="I88" s="89">
        <v>16</v>
      </c>
      <c r="J88" s="89">
        <v>25</v>
      </c>
      <c r="K88" s="89">
        <v>47</v>
      </c>
      <c r="L88" s="89">
        <v>59</v>
      </c>
      <c r="M88" s="89">
        <v>66</v>
      </c>
    </row>
    <row r="89" spans="2:13">
      <c r="B89" s="88" t="s">
        <v>399</v>
      </c>
      <c r="C89" s="89">
        <v>120</v>
      </c>
      <c r="D89" s="89" t="s">
        <v>284</v>
      </c>
      <c r="E89" s="89" t="s">
        <v>284</v>
      </c>
      <c r="F89" s="89" t="s">
        <v>284</v>
      </c>
      <c r="G89" s="89">
        <v>1</v>
      </c>
      <c r="H89" s="89">
        <v>1</v>
      </c>
      <c r="I89" s="89">
        <v>10</v>
      </c>
      <c r="J89" s="89">
        <v>12</v>
      </c>
      <c r="K89" s="89">
        <v>34</v>
      </c>
      <c r="L89" s="89">
        <v>32</v>
      </c>
      <c r="M89" s="89">
        <v>30</v>
      </c>
    </row>
    <row r="90" spans="2:13">
      <c r="B90" s="88" t="s">
        <v>400</v>
      </c>
      <c r="C90" s="89">
        <v>265</v>
      </c>
      <c r="D90" s="89">
        <v>3</v>
      </c>
      <c r="E90" s="89" t="s">
        <v>284</v>
      </c>
      <c r="F90" s="89">
        <v>1</v>
      </c>
      <c r="G90" s="89">
        <v>2</v>
      </c>
      <c r="H90" s="89">
        <v>14</v>
      </c>
      <c r="I90" s="89">
        <v>20</v>
      </c>
      <c r="J90" s="89">
        <v>28</v>
      </c>
      <c r="K90" s="89">
        <v>50</v>
      </c>
      <c r="L90" s="89">
        <v>59</v>
      </c>
      <c r="M90" s="89">
        <v>88</v>
      </c>
    </row>
    <row r="91" spans="2:13">
      <c r="B91" s="88" t="s">
        <v>401</v>
      </c>
      <c r="C91" s="89">
        <v>1767</v>
      </c>
      <c r="D91" s="89">
        <v>26</v>
      </c>
      <c r="E91" s="89">
        <v>10</v>
      </c>
      <c r="F91" s="89">
        <v>24</v>
      </c>
      <c r="G91" s="89">
        <v>17</v>
      </c>
      <c r="H91" s="89">
        <v>27</v>
      </c>
      <c r="I91" s="89">
        <v>89</v>
      </c>
      <c r="J91" s="89">
        <v>155</v>
      </c>
      <c r="K91" s="89">
        <v>277</v>
      </c>
      <c r="L91" s="89">
        <v>408</v>
      </c>
      <c r="M91" s="89">
        <v>734</v>
      </c>
    </row>
    <row r="92" spans="2:13">
      <c r="B92" s="88"/>
      <c r="C92" s="89"/>
      <c r="D92" s="89"/>
      <c r="E92" s="89"/>
      <c r="F92" s="89"/>
      <c r="G92" s="89"/>
      <c r="H92" s="89"/>
      <c r="I92" s="89"/>
      <c r="J92" s="89"/>
      <c r="K92" s="89"/>
      <c r="L92" s="89"/>
      <c r="M92" s="89"/>
    </row>
    <row r="93" spans="2:13">
      <c r="B93" s="88" t="s">
        <v>402</v>
      </c>
      <c r="C93" s="89">
        <v>177</v>
      </c>
      <c r="D93" s="89" t="s">
        <v>284</v>
      </c>
      <c r="E93" s="89">
        <v>1</v>
      </c>
      <c r="F93" s="89" t="s">
        <v>284</v>
      </c>
      <c r="G93" s="89" t="s">
        <v>284</v>
      </c>
      <c r="H93" s="89">
        <v>3</v>
      </c>
      <c r="I93" s="89">
        <v>6</v>
      </c>
      <c r="J93" s="89">
        <v>15</v>
      </c>
      <c r="K93" s="89">
        <v>30</v>
      </c>
      <c r="L93" s="89">
        <v>59</v>
      </c>
      <c r="M93" s="89">
        <v>63</v>
      </c>
    </row>
    <row r="94" spans="2:13">
      <c r="B94" s="88" t="s">
        <v>403</v>
      </c>
      <c r="C94" s="89">
        <v>393</v>
      </c>
      <c r="D94" s="89" t="s">
        <v>284</v>
      </c>
      <c r="E94" s="89">
        <v>1</v>
      </c>
      <c r="F94" s="89" t="s">
        <v>284</v>
      </c>
      <c r="G94" s="89">
        <v>1</v>
      </c>
      <c r="H94" s="89">
        <v>5</v>
      </c>
      <c r="I94" s="89">
        <v>27</v>
      </c>
      <c r="J94" s="89">
        <v>49</v>
      </c>
      <c r="K94" s="89">
        <v>82</v>
      </c>
      <c r="L94" s="89">
        <v>117</v>
      </c>
      <c r="M94" s="89">
        <v>111</v>
      </c>
    </row>
    <row r="95" spans="2:13">
      <c r="B95" s="88" t="s">
        <v>404</v>
      </c>
      <c r="C95" s="89">
        <v>1961</v>
      </c>
      <c r="D95" s="89">
        <v>19</v>
      </c>
      <c r="E95" s="89">
        <v>4</v>
      </c>
      <c r="F95" s="89">
        <v>26</v>
      </c>
      <c r="G95" s="89">
        <v>24</v>
      </c>
      <c r="H95" s="89">
        <v>55</v>
      </c>
      <c r="I95" s="89">
        <v>118</v>
      </c>
      <c r="J95" s="89">
        <v>242</v>
      </c>
      <c r="K95" s="89">
        <v>319</v>
      </c>
      <c r="L95" s="89">
        <v>504</v>
      </c>
      <c r="M95" s="89">
        <v>650</v>
      </c>
    </row>
    <row r="96" spans="2:13">
      <c r="B96" s="88" t="s">
        <v>405</v>
      </c>
      <c r="C96" s="89">
        <v>1748</v>
      </c>
      <c r="D96" s="89">
        <v>6</v>
      </c>
      <c r="E96" s="89">
        <v>2</v>
      </c>
      <c r="F96" s="89">
        <v>13</v>
      </c>
      <c r="G96" s="89">
        <v>27</v>
      </c>
      <c r="H96" s="89">
        <v>29</v>
      </c>
      <c r="I96" s="89">
        <v>112</v>
      </c>
      <c r="J96" s="89">
        <v>237</v>
      </c>
      <c r="K96" s="89">
        <v>320</v>
      </c>
      <c r="L96" s="89">
        <v>439</v>
      </c>
      <c r="M96" s="89">
        <v>563</v>
      </c>
    </row>
    <row r="97" spans="2:13">
      <c r="B97" s="88" t="s">
        <v>406</v>
      </c>
      <c r="C97" s="89">
        <v>637</v>
      </c>
      <c r="D97" s="89">
        <v>7</v>
      </c>
      <c r="E97" s="89">
        <v>3</v>
      </c>
      <c r="F97" s="89">
        <v>5</v>
      </c>
      <c r="G97" s="89">
        <v>12</v>
      </c>
      <c r="H97" s="89">
        <v>15</v>
      </c>
      <c r="I97" s="89">
        <v>32</v>
      </c>
      <c r="J97" s="89">
        <v>83</v>
      </c>
      <c r="K97" s="89">
        <v>119</v>
      </c>
      <c r="L97" s="89">
        <v>175</v>
      </c>
      <c r="M97" s="89">
        <v>186</v>
      </c>
    </row>
    <row r="98" spans="2:13">
      <c r="B98" s="88"/>
      <c r="C98" s="89"/>
      <c r="D98" s="89"/>
      <c r="E98" s="89"/>
      <c r="F98" s="89"/>
      <c r="G98" s="89"/>
      <c r="H98" s="89"/>
      <c r="I98" s="89"/>
      <c r="J98" s="89"/>
      <c r="K98" s="89"/>
      <c r="L98" s="89"/>
      <c r="M98" s="89"/>
    </row>
    <row r="99" spans="2:13">
      <c r="B99" s="88" t="s">
        <v>407</v>
      </c>
      <c r="C99" s="89">
        <v>490</v>
      </c>
      <c r="D99" s="89">
        <v>2</v>
      </c>
      <c r="E99" s="89">
        <v>2</v>
      </c>
      <c r="F99" s="89">
        <v>1</v>
      </c>
      <c r="G99" s="89">
        <v>11</v>
      </c>
      <c r="H99" s="89">
        <v>8</v>
      </c>
      <c r="I99" s="89">
        <v>32</v>
      </c>
      <c r="J99" s="89">
        <v>60</v>
      </c>
      <c r="K99" s="89">
        <v>93</v>
      </c>
      <c r="L99" s="89">
        <v>107</v>
      </c>
      <c r="M99" s="89">
        <v>174</v>
      </c>
    </row>
    <row r="100" spans="2:13">
      <c r="B100" s="88" t="s">
        <v>408</v>
      </c>
      <c r="C100" s="89">
        <v>117</v>
      </c>
      <c r="D100" s="89" t="s">
        <v>284</v>
      </c>
      <c r="E100" s="89" t="s">
        <v>284</v>
      </c>
      <c r="F100" s="89" t="s">
        <v>284</v>
      </c>
      <c r="G100" s="89" t="s">
        <v>284</v>
      </c>
      <c r="H100" s="89">
        <v>3</v>
      </c>
      <c r="I100" s="89">
        <v>4</v>
      </c>
      <c r="J100" s="89">
        <v>6</v>
      </c>
      <c r="K100" s="89">
        <v>26</v>
      </c>
      <c r="L100" s="89">
        <v>27</v>
      </c>
      <c r="M100" s="89">
        <v>51</v>
      </c>
    </row>
    <row r="101" spans="2:13">
      <c r="B101" s="88" t="s">
        <v>409</v>
      </c>
      <c r="C101" s="89">
        <v>748</v>
      </c>
      <c r="D101" s="89">
        <v>3</v>
      </c>
      <c r="E101" s="89">
        <v>3</v>
      </c>
      <c r="F101" s="89">
        <v>11</v>
      </c>
      <c r="G101" s="89">
        <v>7</v>
      </c>
      <c r="H101" s="89">
        <v>19</v>
      </c>
      <c r="I101" s="89">
        <v>52</v>
      </c>
      <c r="J101" s="89">
        <v>103</v>
      </c>
      <c r="K101" s="89">
        <v>130</v>
      </c>
      <c r="L101" s="89">
        <v>182</v>
      </c>
      <c r="M101" s="89">
        <v>238</v>
      </c>
    </row>
    <row r="102" spans="2:13">
      <c r="B102" s="88" t="s">
        <v>410</v>
      </c>
      <c r="C102" s="89">
        <v>563</v>
      </c>
      <c r="D102" s="89">
        <v>2</v>
      </c>
      <c r="E102" s="89">
        <v>3</v>
      </c>
      <c r="F102" s="89">
        <v>5</v>
      </c>
      <c r="G102" s="89">
        <v>8</v>
      </c>
      <c r="H102" s="89">
        <v>9</v>
      </c>
      <c r="I102" s="89">
        <v>29</v>
      </c>
      <c r="J102" s="89">
        <v>70</v>
      </c>
      <c r="K102" s="89">
        <v>119</v>
      </c>
      <c r="L102" s="89">
        <v>141</v>
      </c>
      <c r="M102" s="89">
        <v>177</v>
      </c>
    </row>
    <row r="103" spans="2:13">
      <c r="B103" s="88" t="s">
        <v>411</v>
      </c>
      <c r="C103" s="89">
        <v>741</v>
      </c>
      <c r="D103" s="89">
        <v>6</v>
      </c>
      <c r="E103" s="89">
        <v>2</v>
      </c>
      <c r="F103" s="89">
        <v>7</v>
      </c>
      <c r="G103" s="89">
        <v>7</v>
      </c>
      <c r="H103" s="89">
        <v>12</v>
      </c>
      <c r="I103" s="89">
        <v>54</v>
      </c>
      <c r="J103" s="89">
        <v>100</v>
      </c>
      <c r="K103" s="89">
        <v>147</v>
      </c>
      <c r="L103" s="89">
        <v>183</v>
      </c>
      <c r="M103" s="89">
        <v>223</v>
      </c>
    </row>
    <row r="104" spans="2:13">
      <c r="B104" s="88"/>
      <c r="C104" s="89"/>
      <c r="D104" s="89"/>
      <c r="E104" s="89"/>
      <c r="F104" s="89"/>
      <c r="G104" s="89"/>
      <c r="H104" s="89"/>
      <c r="I104" s="89"/>
      <c r="J104" s="89"/>
      <c r="K104" s="89"/>
      <c r="L104" s="89"/>
      <c r="M104" s="89"/>
    </row>
    <row r="105" spans="2:13">
      <c r="B105" s="88" t="s">
        <v>412</v>
      </c>
      <c r="C105" s="89">
        <v>2164</v>
      </c>
      <c r="D105" s="89">
        <v>18</v>
      </c>
      <c r="E105" s="89">
        <v>5</v>
      </c>
      <c r="F105" s="89">
        <v>22</v>
      </c>
      <c r="G105" s="89">
        <v>49</v>
      </c>
      <c r="H105" s="89">
        <v>65</v>
      </c>
      <c r="I105" s="89">
        <v>134</v>
      </c>
      <c r="J105" s="89">
        <v>263</v>
      </c>
      <c r="K105" s="89">
        <v>370</v>
      </c>
      <c r="L105" s="89">
        <v>457</v>
      </c>
      <c r="M105" s="89">
        <v>781</v>
      </c>
    </row>
    <row r="106" spans="2:13">
      <c r="B106" s="88" t="s">
        <v>413</v>
      </c>
      <c r="C106" s="89">
        <v>17984</v>
      </c>
      <c r="D106" s="89">
        <v>217</v>
      </c>
      <c r="E106" s="89">
        <v>69</v>
      </c>
      <c r="F106" s="89">
        <v>267</v>
      </c>
      <c r="G106" s="89">
        <v>392</v>
      </c>
      <c r="H106" s="89">
        <v>612</v>
      </c>
      <c r="I106" s="89">
        <v>1448</v>
      </c>
      <c r="J106" s="89">
        <v>2849</v>
      </c>
      <c r="K106" s="89">
        <v>3157</v>
      </c>
      <c r="L106" s="89">
        <v>3892</v>
      </c>
      <c r="M106" s="89">
        <v>5081</v>
      </c>
    </row>
    <row r="107" spans="2:13">
      <c r="B107" s="88" t="s">
        <v>414</v>
      </c>
      <c r="C107" s="89">
        <v>375</v>
      </c>
      <c r="D107" s="89">
        <v>3</v>
      </c>
      <c r="E107" s="89">
        <v>1</v>
      </c>
      <c r="F107" s="89">
        <v>3</v>
      </c>
      <c r="G107" s="89">
        <v>3</v>
      </c>
      <c r="H107" s="89">
        <v>9</v>
      </c>
      <c r="I107" s="89">
        <v>24</v>
      </c>
      <c r="J107" s="89">
        <v>55</v>
      </c>
      <c r="K107" s="89">
        <v>77</v>
      </c>
      <c r="L107" s="89">
        <v>100</v>
      </c>
      <c r="M107" s="89">
        <v>100</v>
      </c>
    </row>
    <row r="108" spans="2:13">
      <c r="B108" s="83" t="s">
        <v>415</v>
      </c>
      <c r="C108" s="90" t="s">
        <v>426</v>
      </c>
      <c r="D108" s="89" t="s">
        <v>284</v>
      </c>
      <c r="E108" s="89" t="s">
        <v>284</v>
      </c>
      <c r="F108" s="89" t="s">
        <v>284</v>
      </c>
      <c r="G108" s="89" t="s">
        <v>284</v>
      </c>
      <c r="H108" s="89" t="s">
        <v>284</v>
      </c>
      <c r="I108" s="89" t="s">
        <v>284</v>
      </c>
      <c r="J108" s="89" t="s">
        <v>284</v>
      </c>
      <c r="K108" s="89" t="s">
        <v>284</v>
      </c>
      <c r="L108" s="89" t="s">
        <v>284</v>
      </c>
      <c r="M108" s="89" t="s">
        <v>284</v>
      </c>
    </row>
    <row r="109" spans="2:13">
      <c r="B109" s="65"/>
      <c r="C109" s="65"/>
      <c r="D109" s="65"/>
      <c r="E109" s="65"/>
      <c r="F109" s="65"/>
      <c r="G109" s="65"/>
      <c r="H109" s="65"/>
      <c r="I109" s="65"/>
      <c r="J109" s="65"/>
      <c r="K109" s="65"/>
      <c r="L109" s="65"/>
      <c r="M109" s="65"/>
    </row>
    <row r="110" spans="2:13">
      <c r="B110" s="14"/>
      <c r="C110" s="14"/>
      <c r="D110" s="14"/>
      <c r="E110" s="14"/>
      <c r="F110" s="14"/>
      <c r="G110" s="14"/>
      <c r="H110" s="14"/>
      <c r="I110" s="14"/>
      <c r="J110" s="14"/>
      <c r="K110" s="14"/>
      <c r="L110" s="14"/>
      <c r="M110" s="14"/>
    </row>
    <row r="111" spans="2:13" ht="15.75" customHeight="1">
      <c r="B111" s="351" t="s">
        <v>612</v>
      </c>
      <c r="C111" s="351"/>
      <c r="D111" s="351"/>
      <c r="E111" s="351"/>
      <c r="F111" s="351"/>
      <c r="G111" s="351"/>
      <c r="H111" s="351"/>
      <c r="I111" s="351"/>
      <c r="J111" s="351"/>
      <c r="K111" s="351"/>
      <c r="L111" s="351"/>
      <c r="M111" s="351"/>
    </row>
    <row r="112" spans="2:13">
      <c r="B112" s="351"/>
      <c r="C112" s="351"/>
      <c r="D112" s="351"/>
      <c r="E112" s="351"/>
      <c r="F112" s="351"/>
      <c r="G112" s="351"/>
      <c r="H112" s="351"/>
      <c r="I112" s="351"/>
      <c r="J112" s="351"/>
      <c r="K112" s="351"/>
      <c r="L112" s="351"/>
      <c r="M112" s="351"/>
    </row>
  </sheetData>
  <mergeCells count="3">
    <mergeCell ref="B5:B6"/>
    <mergeCell ref="C5:C6"/>
    <mergeCell ref="B111:M112"/>
  </mergeCells>
  <phoneticPr fontId="1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heetViews>
  <sheetFormatPr defaultRowHeight="15"/>
  <cols>
    <col min="1" max="1" width="3.5" style="2" customWidth="1"/>
    <col min="2" max="2" width="28.6640625" style="2" customWidth="1"/>
    <col min="3" max="3" width="12.33203125" style="2" customWidth="1"/>
    <col min="4" max="4" width="11.83203125" style="2" customWidth="1"/>
    <col min="5" max="5" width="10.5" style="2" bestFit="1" customWidth="1"/>
    <col min="6" max="6" width="13.1640625" style="2" customWidth="1"/>
    <col min="7" max="7" width="11.5" style="2" customWidth="1"/>
    <col min="8" max="8" width="11" style="2" customWidth="1"/>
    <col min="9" max="9" width="9.33203125" style="2"/>
    <col min="10" max="10" width="11.6640625" style="2" bestFit="1" customWidth="1"/>
    <col min="11" max="16384" width="9.33203125" style="2"/>
  </cols>
  <sheetData>
    <row r="1" spans="1:10" ht="15.75">
      <c r="A1" s="1"/>
      <c r="B1" s="110"/>
    </row>
    <row r="2" spans="1:10">
      <c r="B2" s="4" t="s">
        <v>146</v>
      </c>
      <c r="C2" s="4"/>
      <c r="D2" s="4"/>
      <c r="E2" s="4"/>
      <c r="F2" s="4"/>
      <c r="G2" s="4"/>
      <c r="H2" s="4"/>
      <c r="I2" s="4"/>
      <c r="J2" s="4"/>
    </row>
    <row r="3" spans="1:10" ht="15.75">
      <c r="B3" s="62" t="s">
        <v>147</v>
      </c>
      <c r="C3" s="4"/>
      <c r="D3" s="4"/>
      <c r="E3" s="4"/>
      <c r="F3" s="4"/>
      <c r="G3" s="4"/>
      <c r="H3" s="4"/>
      <c r="I3" s="4"/>
      <c r="J3" s="4"/>
    </row>
    <row r="4" spans="1:10">
      <c r="B4" s="4" t="s">
        <v>567</v>
      </c>
      <c r="C4" s="4"/>
      <c r="D4" s="4"/>
      <c r="E4" s="4"/>
      <c r="F4" s="4"/>
      <c r="G4" s="4"/>
      <c r="H4" s="4"/>
      <c r="I4" s="4"/>
      <c r="J4" s="4"/>
    </row>
    <row r="5" spans="1:10">
      <c r="B5" s="302" t="s">
        <v>133</v>
      </c>
      <c r="C5" s="302" t="s">
        <v>544</v>
      </c>
      <c r="D5" s="302" t="s">
        <v>545</v>
      </c>
      <c r="E5" s="302" t="s">
        <v>546</v>
      </c>
      <c r="F5" s="315" t="s">
        <v>547</v>
      </c>
      <c r="G5" s="315" t="s">
        <v>548</v>
      </c>
      <c r="H5" s="315" t="s">
        <v>148</v>
      </c>
      <c r="I5" s="40" t="s">
        <v>149</v>
      </c>
      <c r="J5" s="41"/>
    </row>
    <row r="6" spans="1:10" ht="30.75" customHeight="1">
      <c r="B6" s="292"/>
      <c r="C6" s="292"/>
      <c r="D6" s="316"/>
      <c r="E6" s="316"/>
      <c r="F6" s="292"/>
      <c r="G6" s="292"/>
      <c r="H6" s="292"/>
      <c r="I6" s="129" t="s">
        <v>150</v>
      </c>
      <c r="J6" s="32" t="s">
        <v>151</v>
      </c>
    </row>
    <row r="7" spans="1:10" ht="20.100000000000001" customHeight="1">
      <c r="B7" s="199" t="s">
        <v>156</v>
      </c>
      <c r="C7" s="125">
        <v>113732</v>
      </c>
      <c r="D7" s="125">
        <v>83339</v>
      </c>
      <c r="E7" s="125">
        <v>22055</v>
      </c>
      <c r="F7" s="125">
        <v>625</v>
      </c>
      <c r="G7" s="125">
        <v>3933</v>
      </c>
      <c r="H7" s="125">
        <v>3523</v>
      </c>
      <c r="I7" s="125">
        <v>4589</v>
      </c>
      <c r="J7" s="125">
        <v>7763</v>
      </c>
    </row>
    <row r="8" spans="1:10">
      <c r="B8" s="131"/>
      <c r="C8" s="89"/>
      <c r="D8" s="89"/>
      <c r="E8" s="89"/>
      <c r="F8" s="89"/>
      <c r="G8" s="89"/>
      <c r="H8" s="89"/>
      <c r="I8" s="89"/>
      <c r="J8" s="89"/>
    </row>
    <row r="9" spans="1:10" ht="15" customHeight="1">
      <c r="B9" s="200" t="s">
        <v>332</v>
      </c>
      <c r="C9" s="89">
        <v>59</v>
      </c>
      <c r="D9" s="89">
        <v>55</v>
      </c>
      <c r="E9" s="89">
        <v>1</v>
      </c>
      <c r="F9" s="89">
        <v>1</v>
      </c>
      <c r="G9" s="89" t="s">
        <v>284</v>
      </c>
      <c r="H9" s="89">
        <v>2</v>
      </c>
      <c r="I9" s="89" t="s">
        <v>284</v>
      </c>
      <c r="J9" s="89">
        <v>3</v>
      </c>
    </row>
    <row r="10" spans="1:10" ht="15" customHeight="1">
      <c r="B10" s="200" t="s">
        <v>333</v>
      </c>
      <c r="C10" s="89">
        <v>71</v>
      </c>
      <c r="D10" s="89">
        <v>67</v>
      </c>
      <c r="E10" s="89" t="s">
        <v>284</v>
      </c>
      <c r="F10" s="89">
        <v>3</v>
      </c>
      <c r="G10" s="89" t="s">
        <v>284</v>
      </c>
      <c r="H10" s="89">
        <v>1</v>
      </c>
      <c r="I10" s="89" t="s">
        <v>284</v>
      </c>
      <c r="J10" s="89" t="s">
        <v>284</v>
      </c>
    </row>
    <row r="11" spans="1:10" ht="15" customHeight="1">
      <c r="B11" s="200" t="s">
        <v>334</v>
      </c>
      <c r="C11" s="89">
        <v>1299</v>
      </c>
      <c r="D11" s="89">
        <v>1241</v>
      </c>
      <c r="E11" s="89">
        <v>21</v>
      </c>
      <c r="F11" s="89">
        <v>4</v>
      </c>
      <c r="G11" s="89">
        <v>11</v>
      </c>
      <c r="H11" s="89">
        <v>21</v>
      </c>
      <c r="I11" s="89">
        <v>2</v>
      </c>
      <c r="J11" s="89">
        <v>133</v>
      </c>
    </row>
    <row r="12" spans="1:10" ht="15" customHeight="1">
      <c r="B12" s="200" t="s">
        <v>335</v>
      </c>
      <c r="C12" s="89">
        <v>263</v>
      </c>
      <c r="D12" s="89">
        <v>260</v>
      </c>
      <c r="E12" s="89" t="s">
        <v>284</v>
      </c>
      <c r="F12" s="89">
        <v>1</v>
      </c>
      <c r="G12" s="89">
        <v>2</v>
      </c>
      <c r="H12" s="89" t="s">
        <v>284</v>
      </c>
      <c r="I12" s="89">
        <v>1</v>
      </c>
      <c r="J12" s="89">
        <v>4</v>
      </c>
    </row>
    <row r="13" spans="1:10" ht="15" customHeight="1">
      <c r="B13" s="200" t="s">
        <v>336</v>
      </c>
      <c r="C13" s="89">
        <v>197</v>
      </c>
      <c r="D13" s="89">
        <v>192</v>
      </c>
      <c r="E13" s="89">
        <v>1</v>
      </c>
      <c r="F13" s="89">
        <v>4</v>
      </c>
      <c r="G13" s="89" t="s">
        <v>284</v>
      </c>
      <c r="H13" s="89" t="s">
        <v>284</v>
      </c>
      <c r="I13" s="89">
        <v>1</v>
      </c>
      <c r="J13" s="89">
        <v>2</v>
      </c>
    </row>
    <row r="14" spans="1:10" ht="12.75" customHeight="1">
      <c r="B14" s="200"/>
      <c r="C14" s="89"/>
      <c r="D14" s="89"/>
      <c r="E14" s="89"/>
      <c r="F14" s="89"/>
      <c r="G14" s="89"/>
      <c r="H14" s="89"/>
      <c r="I14" s="89"/>
      <c r="J14" s="89"/>
    </row>
    <row r="15" spans="1:10" ht="15" customHeight="1">
      <c r="B15" s="200" t="s">
        <v>337</v>
      </c>
      <c r="C15" s="89">
        <v>110</v>
      </c>
      <c r="D15" s="89">
        <v>109</v>
      </c>
      <c r="E15" s="89">
        <v>1</v>
      </c>
      <c r="F15" s="89" t="s">
        <v>284</v>
      </c>
      <c r="G15" s="89" t="s">
        <v>284</v>
      </c>
      <c r="H15" s="89" t="s">
        <v>284</v>
      </c>
      <c r="I15" s="89" t="s">
        <v>284</v>
      </c>
      <c r="J15" s="89">
        <v>2</v>
      </c>
    </row>
    <row r="16" spans="1:10" ht="15" customHeight="1">
      <c r="B16" s="200" t="s">
        <v>338</v>
      </c>
      <c r="C16" s="89">
        <v>79</v>
      </c>
      <c r="D16" s="89">
        <v>57</v>
      </c>
      <c r="E16" s="89" t="s">
        <v>284</v>
      </c>
      <c r="F16" s="89">
        <v>22</v>
      </c>
      <c r="G16" s="89" t="s">
        <v>284</v>
      </c>
      <c r="H16" s="89" t="s">
        <v>284</v>
      </c>
      <c r="I16" s="89" t="s">
        <v>284</v>
      </c>
      <c r="J16" s="89">
        <v>1</v>
      </c>
    </row>
    <row r="17" spans="2:10" ht="15" customHeight="1">
      <c r="B17" s="200" t="s">
        <v>339</v>
      </c>
      <c r="C17" s="89">
        <v>580</v>
      </c>
      <c r="D17" s="89">
        <v>571</v>
      </c>
      <c r="E17" s="89">
        <v>1</v>
      </c>
      <c r="F17" s="89">
        <v>1</v>
      </c>
      <c r="G17" s="89">
        <v>3</v>
      </c>
      <c r="H17" s="89">
        <v>3</v>
      </c>
      <c r="I17" s="89" t="s">
        <v>284</v>
      </c>
      <c r="J17" s="89">
        <v>21</v>
      </c>
    </row>
    <row r="18" spans="2:10" ht="15" customHeight="1">
      <c r="B18" s="200" t="s">
        <v>340</v>
      </c>
      <c r="C18" s="89">
        <v>1042</v>
      </c>
      <c r="D18" s="89">
        <v>978</v>
      </c>
      <c r="E18" s="89">
        <v>30</v>
      </c>
      <c r="F18" s="89">
        <v>6</v>
      </c>
      <c r="G18" s="89">
        <v>3</v>
      </c>
      <c r="H18" s="89">
        <v>23</v>
      </c>
      <c r="I18" s="89">
        <v>2</v>
      </c>
      <c r="J18" s="89">
        <v>77</v>
      </c>
    </row>
    <row r="19" spans="2:10" ht="15" customHeight="1">
      <c r="B19" s="200" t="s">
        <v>341</v>
      </c>
      <c r="C19" s="89">
        <v>156</v>
      </c>
      <c r="D19" s="89">
        <v>149</v>
      </c>
      <c r="E19" s="90">
        <v>1</v>
      </c>
      <c r="F19" s="89">
        <v>3</v>
      </c>
      <c r="G19" s="89">
        <v>1</v>
      </c>
      <c r="H19" s="89">
        <v>2</v>
      </c>
      <c r="I19" s="89" t="s">
        <v>284</v>
      </c>
      <c r="J19" s="89">
        <v>3</v>
      </c>
    </row>
    <row r="20" spans="2:10" ht="12.75" customHeight="1">
      <c r="B20" s="200"/>
      <c r="C20" s="89"/>
      <c r="D20" s="89"/>
      <c r="E20" s="89"/>
      <c r="F20" s="89"/>
      <c r="G20" s="89"/>
      <c r="H20" s="89"/>
      <c r="I20" s="89"/>
      <c r="J20" s="89"/>
    </row>
    <row r="21" spans="2:10" ht="15" customHeight="1">
      <c r="B21" s="200" t="s">
        <v>342</v>
      </c>
      <c r="C21" s="89">
        <v>1896</v>
      </c>
      <c r="D21" s="89">
        <v>1313</v>
      </c>
      <c r="E21" s="89">
        <v>497</v>
      </c>
      <c r="F21" s="89">
        <v>10</v>
      </c>
      <c r="G21" s="89">
        <v>43</v>
      </c>
      <c r="H21" s="89">
        <v>30</v>
      </c>
      <c r="I21" s="89">
        <v>4</v>
      </c>
      <c r="J21" s="89">
        <v>163</v>
      </c>
    </row>
    <row r="22" spans="2:10" ht="15" customHeight="1">
      <c r="B22" s="200" t="s">
        <v>343</v>
      </c>
      <c r="C22" s="89">
        <v>567</v>
      </c>
      <c r="D22" s="89">
        <v>547</v>
      </c>
      <c r="E22" s="89">
        <v>4</v>
      </c>
      <c r="F22" s="89" t="s">
        <v>284</v>
      </c>
      <c r="G22" s="89">
        <v>6</v>
      </c>
      <c r="H22" s="89">
        <v>8</v>
      </c>
      <c r="I22" s="89">
        <v>26</v>
      </c>
      <c r="J22" s="89">
        <v>32</v>
      </c>
    </row>
    <row r="23" spans="2:10" ht="15" customHeight="1">
      <c r="B23" s="200" t="s">
        <v>344</v>
      </c>
      <c r="C23" s="89">
        <v>1697</v>
      </c>
      <c r="D23" s="89">
        <v>1302</v>
      </c>
      <c r="E23" s="89">
        <v>286</v>
      </c>
      <c r="F23" s="89">
        <v>3</v>
      </c>
      <c r="G23" s="89">
        <v>46</v>
      </c>
      <c r="H23" s="89">
        <v>58</v>
      </c>
      <c r="I23" s="89">
        <v>2</v>
      </c>
      <c r="J23" s="89">
        <v>98</v>
      </c>
    </row>
    <row r="24" spans="2:10" ht="15" customHeight="1">
      <c r="B24" s="200" t="s">
        <v>345</v>
      </c>
      <c r="C24" s="89">
        <v>470</v>
      </c>
      <c r="D24" s="89">
        <v>420</v>
      </c>
      <c r="E24" s="89">
        <v>28</v>
      </c>
      <c r="F24" s="89">
        <v>6</v>
      </c>
      <c r="G24" s="89">
        <v>7</v>
      </c>
      <c r="H24" s="89">
        <v>9</v>
      </c>
      <c r="I24" s="89" t="s">
        <v>284</v>
      </c>
      <c r="J24" s="89">
        <v>31</v>
      </c>
    </row>
    <row r="25" spans="2:10" ht="15" customHeight="1">
      <c r="B25" s="200" t="s">
        <v>346</v>
      </c>
      <c r="C25" s="89">
        <v>227</v>
      </c>
      <c r="D25" s="89">
        <v>217</v>
      </c>
      <c r="E25" s="90">
        <v>3</v>
      </c>
      <c r="F25" s="89">
        <v>4</v>
      </c>
      <c r="G25" s="89">
        <v>1</v>
      </c>
      <c r="H25" s="89">
        <v>2</v>
      </c>
      <c r="I25" s="89" t="s">
        <v>284</v>
      </c>
      <c r="J25" s="89">
        <v>5</v>
      </c>
    </row>
    <row r="26" spans="2:10" ht="12.75" customHeight="1">
      <c r="B26" s="200"/>
      <c r="C26" s="89"/>
      <c r="D26" s="89"/>
      <c r="E26" s="89"/>
      <c r="F26" s="89"/>
      <c r="G26" s="89"/>
      <c r="H26" s="89"/>
      <c r="I26" s="89"/>
      <c r="J26" s="89"/>
    </row>
    <row r="27" spans="2:10" ht="15" customHeight="1">
      <c r="B27" s="200" t="s">
        <v>347</v>
      </c>
      <c r="C27" s="89">
        <v>192</v>
      </c>
      <c r="D27" s="89">
        <v>179</v>
      </c>
      <c r="E27" s="89">
        <v>1</v>
      </c>
      <c r="F27" s="89">
        <v>4</v>
      </c>
      <c r="G27" s="89">
        <v>4</v>
      </c>
      <c r="H27" s="89">
        <v>3</v>
      </c>
      <c r="I27" s="89">
        <v>1</v>
      </c>
      <c r="J27" s="89">
        <v>3</v>
      </c>
    </row>
    <row r="28" spans="2:10" ht="15" customHeight="1">
      <c r="B28" s="200" t="s">
        <v>348</v>
      </c>
      <c r="C28" s="89">
        <v>339</v>
      </c>
      <c r="D28" s="89">
        <v>265</v>
      </c>
      <c r="E28" s="89">
        <v>2</v>
      </c>
      <c r="F28" s="89">
        <v>67</v>
      </c>
      <c r="G28" s="89">
        <v>2</v>
      </c>
      <c r="H28" s="89">
        <v>2</v>
      </c>
      <c r="I28" s="89">
        <v>1</v>
      </c>
      <c r="J28" s="89">
        <v>7</v>
      </c>
    </row>
    <row r="29" spans="2:10" ht="15" customHeight="1">
      <c r="B29" s="200" t="s">
        <v>349</v>
      </c>
      <c r="C29" s="89">
        <v>300</v>
      </c>
      <c r="D29" s="89">
        <v>291</v>
      </c>
      <c r="E29" s="89">
        <v>2</v>
      </c>
      <c r="F29" s="89">
        <v>3</v>
      </c>
      <c r="G29" s="89">
        <v>2</v>
      </c>
      <c r="H29" s="89">
        <v>1</v>
      </c>
      <c r="I29" s="89" t="s">
        <v>284</v>
      </c>
      <c r="J29" s="89">
        <v>7</v>
      </c>
    </row>
    <row r="30" spans="2:10" ht="15" customHeight="1">
      <c r="B30" s="200" t="s">
        <v>350</v>
      </c>
      <c r="C30" s="89">
        <v>803</v>
      </c>
      <c r="D30" s="89">
        <v>745</v>
      </c>
      <c r="E30" s="89">
        <v>20</v>
      </c>
      <c r="F30" s="89" t="s">
        <v>284</v>
      </c>
      <c r="G30" s="89">
        <v>11</v>
      </c>
      <c r="H30" s="89">
        <v>21</v>
      </c>
      <c r="I30" s="89">
        <v>5</v>
      </c>
      <c r="J30" s="89">
        <v>37</v>
      </c>
    </row>
    <row r="31" spans="2:10" ht="15" customHeight="1">
      <c r="B31" s="200" t="s">
        <v>351</v>
      </c>
      <c r="C31" s="89">
        <v>110</v>
      </c>
      <c r="D31" s="89">
        <v>104</v>
      </c>
      <c r="E31" s="89">
        <v>1</v>
      </c>
      <c r="F31" s="89" t="s">
        <v>284</v>
      </c>
      <c r="G31" s="89">
        <v>2</v>
      </c>
      <c r="H31" s="89">
        <v>3</v>
      </c>
      <c r="I31" s="89" t="s">
        <v>284</v>
      </c>
      <c r="J31" s="89">
        <v>6</v>
      </c>
    </row>
    <row r="32" spans="2:10" ht="12.75" customHeight="1">
      <c r="B32" s="200"/>
      <c r="C32" s="89"/>
      <c r="D32" s="89"/>
      <c r="E32" s="89"/>
      <c r="F32" s="89"/>
      <c r="G32" s="89"/>
      <c r="H32" s="89"/>
      <c r="I32" s="89"/>
      <c r="J32" s="89"/>
    </row>
    <row r="33" spans="2:10" ht="15" customHeight="1">
      <c r="B33" s="200" t="s">
        <v>352</v>
      </c>
      <c r="C33" s="89">
        <v>354</v>
      </c>
      <c r="D33" s="89">
        <v>338</v>
      </c>
      <c r="E33" s="89" t="s">
        <v>284</v>
      </c>
      <c r="F33" s="89">
        <v>12</v>
      </c>
      <c r="G33" s="89">
        <v>4</v>
      </c>
      <c r="H33" s="89" t="s">
        <v>284</v>
      </c>
      <c r="I33" s="89" t="s">
        <v>284</v>
      </c>
      <c r="J33" s="89">
        <v>3</v>
      </c>
    </row>
    <row r="34" spans="2:10" ht="15" customHeight="1">
      <c r="B34" s="200" t="s">
        <v>353</v>
      </c>
      <c r="C34" s="89">
        <v>276</v>
      </c>
      <c r="D34" s="89">
        <v>268</v>
      </c>
      <c r="E34" s="89">
        <v>1</v>
      </c>
      <c r="F34" s="89">
        <v>4</v>
      </c>
      <c r="G34" s="89">
        <v>2</v>
      </c>
      <c r="H34" s="89">
        <v>1</v>
      </c>
      <c r="I34" s="89">
        <v>2</v>
      </c>
      <c r="J34" s="89">
        <v>5</v>
      </c>
    </row>
    <row r="35" spans="2:10" ht="15" customHeight="1">
      <c r="B35" s="200" t="s">
        <v>354</v>
      </c>
      <c r="C35" s="89">
        <v>1119</v>
      </c>
      <c r="D35" s="89">
        <v>949</v>
      </c>
      <c r="E35" s="89">
        <v>82</v>
      </c>
      <c r="F35" s="89">
        <v>4</v>
      </c>
      <c r="G35" s="89">
        <v>35</v>
      </c>
      <c r="H35" s="89">
        <v>41</v>
      </c>
      <c r="I35" s="89">
        <v>8</v>
      </c>
      <c r="J35" s="89">
        <v>62</v>
      </c>
    </row>
    <row r="36" spans="2:10" ht="15" customHeight="1">
      <c r="B36" s="200" t="s">
        <v>355</v>
      </c>
      <c r="C36" s="89">
        <v>297</v>
      </c>
      <c r="D36" s="89">
        <v>272</v>
      </c>
      <c r="E36" s="89">
        <v>4</v>
      </c>
      <c r="F36" s="89">
        <v>17</v>
      </c>
      <c r="G36" s="89">
        <v>1</v>
      </c>
      <c r="H36" s="89">
        <v>3</v>
      </c>
      <c r="I36" s="89">
        <v>1</v>
      </c>
      <c r="J36" s="89">
        <v>6</v>
      </c>
    </row>
    <row r="37" spans="2:10" ht="15" customHeight="1">
      <c r="B37" s="200" t="s">
        <v>356</v>
      </c>
      <c r="C37" s="89">
        <v>5019</v>
      </c>
      <c r="D37" s="89">
        <v>3326</v>
      </c>
      <c r="E37" s="89">
        <v>1520</v>
      </c>
      <c r="F37" s="89">
        <v>5</v>
      </c>
      <c r="G37" s="89">
        <v>54</v>
      </c>
      <c r="H37" s="89">
        <v>112</v>
      </c>
      <c r="I37" s="89">
        <v>58</v>
      </c>
      <c r="J37" s="89">
        <v>182</v>
      </c>
    </row>
    <row r="38" spans="2:10" ht="12.75" customHeight="1">
      <c r="B38" s="200"/>
      <c r="C38" s="89"/>
      <c r="D38" s="89"/>
      <c r="E38" s="89"/>
      <c r="F38" s="89"/>
      <c r="G38" s="89"/>
      <c r="H38" s="89"/>
      <c r="I38" s="89"/>
      <c r="J38" s="89"/>
    </row>
    <row r="39" spans="2:10" ht="15" customHeight="1">
      <c r="B39" s="200" t="s">
        <v>357</v>
      </c>
      <c r="C39" s="89">
        <v>249</v>
      </c>
      <c r="D39" s="89">
        <v>246</v>
      </c>
      <c r="E39" s="89" t="s">
        <v>284</v>
      </c>
      <c r="F39" s="89">
        <v>1</v>
      </c>
      <c r="G39" s="90">
        <v>2</v>
      </c>
      <c r="H39" s="89" t="s">
        <v>284</v>
      </c>
      <c r="I39" s="89" t="s">
        <v>284</v>
      </c>
      <c r="J39" s="89">
        <v>3</v>
      </c>
    </row>
    <row r="40" spans="2:10" ht="15" customHeight="1">
      <c r="B40" s="200" t="s">
        <v>358</v>
      </c>
      <c r="C40" s="89">
        <v>118</v>
      </c>
      <c r="D40" s="89">
        <v>111</v>
      </c>
      <c r="E40" s="89" t="s">
        <v>284</v>
      </c>
      <c r="F40" s="89">
        <v>5</v>
      </c>
      <c r="G40" s="89">
        <v>1</v>
      </c>
      <c r="H40" s="89">
        <v>1</v>
      </c>
      <c r="I40" s="89" t="s">
        <v>284</v>
      </c>
      <c r="J40" s="89">
        <v>4</v>
      </c>
    </row>
    <row r="41" spans="2:10" ht="15" customHeight="1">
      <c r="B41" s="200" t="s">
        <v>359</v>
      </c>
      <c r="C41" s="89">
        <v>960</v>
      </c>
      <c r="D41" s="89">
        <v>903</v>
      </c>
      <c r="E41" s="89">
        <v>10</v>
      </c>
      <c r="F41" s="89">
        <v>16</v>
      </c>
      <c r="G41" s="89">
        <v>11</v>
      </c>
      <c r="H41" s="89">
        <v>19</v>
      </c>
      <c r="I41" s="89">
        <v>2</v>
      </c>
      <c r="J41" s="89">
        <v>40</v>
      </c>
    </row>
    <row r="42" spans="2:10" ht="15" customHeight="1">
      <c r="B42" s="200" t="s">
        <v>360</v>
      </c>
      <c r="C42" s="89">
        <v>401</v>
      </c>
      <c r="D42" s="89">
        <v>372</v>
      </c>
      <c r="E42" s="89">
        <v>1</v>
      </c>
      <c r="F42" s="89">
        <v>2</v>
      </c>
      <c r="G42" s="89">
        <v>2</v>
      </c>
      <c r="H42" s="89">
        <v>12</v>
      </c>
      <c r="I42" s="89">
        <v>1</v>
      </c>
      <c r="J42" s="89">
        <v>28</v>
      </c>
    </row>
    <row r="43" spans="2:10" ht="15" customHeight="1">
      <c r="B43" s="200" t="s">
        <v>361</v>
      </c>
      <c r="C43" s="89">
        <v>580</v>
      </c>
      <c r="D43" s="89">
        <v>573</v>
      </c>
      <c r="E43" s="89">
        <v>2</v>
      </c>
      <c r="F43" s="89">
        <v>2</v>
      </c>
      <c r="G43" s="89" t="s">
        <v>284</v>
      </c>
      <c r="H43" s="89">
        <v>3</v>
      </c>
      <c r="I43" s="89">
        <v>4</v>
      </c>
      <c r="J43" s="89">
        <v>13</v>
      </c>
    </row>
    <row r="44" spans="2:10" ht="12.75" customHeight="1">
      <c r="B44" s="200"/>
      <c r="C44" s="89"/>
      <c r="D44" s="89"/>
      <c r="E44" s="89"/>
      <c r="F44" s="89"/>
      <c r="G44" s="89"/>
      <c r="H44" s="89"/>
      <c r="I44" s="89"/>
      <c r="J44" s="89"/>
    </row>
    <row r="45" spans="2:10" ht="15" customHeight="1">
      <c r="B45" s="200" t="s">
        <v>362</v>
      </c>
      <c r="C45" s="89">
        <v>369</v>
      </c>
      <c r="D45" s="89">
        <v>341</v>
      </c>
      <c r="E45" s="89">
        <v>2</v>
      </c>
      <c r="F45" s="89">
        <v>3</v>
      </c>
      <c r="G45" s="89">
        <v>19</v>
      </c>
      <c r="H45" s="89">
        <v>3</v>
      </c>
      <c r="I45" s="89">
        <v>3</v>
      </c>
      <c r="J45" s="89">
        <v>6</v>
      </c>
    </row>
    <row r="46" spans="2:10" ht="15" customHeight="1">
      <c r="B46" s="200" t="s">
        <v>363</v>
      </c>
      <c r="C46" s="89">
        <v>303</v>
      </c>
      <c r="D46" s="89">
        <v>292</v>
      </c>
      <c r="E46" s="89">
        <v>1</v>
      </c>
      <c r="F46" s="89">
        <v>2</v>
      </c>
      <c r="G46" s="89">
        <v>5</v>
      </c>
      <c r="H46" s="89">
        <v>3</v>
      </c>
      <c r="I46" s="89">
        <v>2</v>
      </c>
      <c r="J46" s="89">
        <v>8</v>
      </c>
    </row>
    <row r="47" spans="2:10" ht="15" customHeight="1">
      <c r="B47" s="200" t="s">
        <v>364</v>
      </c>
      <c r="C47" s="89">
        <v>3272</v>
      </c>
      <c r="D47" s="89">
        <v>2215</v>
      </c>
      <c r="E47" s="89">
        <v>617</v>
      </c>
      <c r="F47" s="89">
        <v>9</v>
      </c>
      <c r="G47" s="89">
        <v>196</v>
      </c>
      <c r="H47" s="89">
        <v>210</v>
      </c>
      <c r="I47" s="89">
        <v>90</v>
      </c>
      <c r="J47" s="89">
        <v>272</v>
      </c>
    </row>
    <row r="48" spans="2:10" ht="15" customHeight="1">
      <c r="B48" s="200" t="s">
        <v>365</v>
      </c>
      <c r="C48" s="89">
        <v>747</v>
      </c>
      <c r="D48" s="89">
        <v>728</v>
      </c>
      <c r="E48" s="89">
        <v>3</v>
      </c>
      <c r="F48" s="89">
        <v>3</v>
      </c>
      <c r="G48" s="89">
        <v>3</v>
      </c>
      <c r="H48" s="89">
        <v>10</v>
      </c>
      <c r="I48" s="89">
        <v>1</v>
      </c>
      <c r="J48" s="89">
        <v>32</v>
      </c>
    </row>
    <row r="49" spans="2:10" ht="15" customHeight="1">
      <c r="B49" s="200" t="s">
        <v>366</v>
      </c>
      <c r="C49" s="89">
        <v>236</v>
      </c>
      <c r="D49" s="89">
        <v>232</v>
      </c>
      <c r="E49" s="89">
        <v>3</v>
      </c>
      <c r="F49" s="89" t="s">
        <v>284</v>
      </c>
      <c r="G49" s="89">
        <v>1</v>
      </c>
      <c r="H49" s="89" t="s">
        <v>284</v>
      </c>
      <c r="I49" s="89">
        <v>3</v>
      </c>
      <c r="J49" s="89">
        <v>6</v>
      </c>
    </row>
    <row r="50" spans="2:10" ht="12.75" customHeight="1">
      <c r="B50" s="200"/>
      <c r="C50" s="89"/>
      <c r="D50" s="89"/>
      <c r="E50" s="89"/>
      <c r="F50" s="89"/>
      <c r="G50" s="89"/>
      <c r="H50" s="89"/>
      <c r="I50" s="89"/>
      <c r="J50" s="89"/>
    </row>
    <row r="51" spans="2:10" ht="15" customHeight="1">
      <c r="B51" s="200" t="s">
        <v>367</v>
      </c>
      <c r="C51" s="89">
        <v>88</v>
      </c>
      <c r="D51" s="89">
        <v>88</v>
      </c>
      <c r="E51" s="89" t="s">
        <v>284</v>
      </c>
      <c r="F51" s="89" t="s">
        <v>284</v>
      </c>
      <c r="G51" s="89" t="s">
        <v>284</v>
      </c>
      <c r="H51" s="89" t="s">
        <v>284</v>
      </c>
      <c r="I51" s="89" t="s">
        <v>284</v>
      </c>
      <c r="J51" s="89">
        <v>3</v>
      </c>
    </row>
    <row r="52" spans="2:10" ht="15" customHeight="1">
      <c r="B52" s="200" t="s">
        <v>368</v>
      </c>
      <c r="C52" s="89">
        <v>659</v>
      </c>
      <c r="D52" s="89">
        <v>560</v>
      </c>
      <c r="E52" s="89">
        <v>24</v>
      </c>
      <c r="F52" s="89">
        <v>44</v>
      </c>
      <c r="G52" s="89">
        <v>13</v>
      </c>
      <c r="H52" s="89">
        <v>4</v>
      </c>
      <c r="I52" s="89">
        <v>16</v>
      </c>
      <c r="J52" s="89">
        <v>35</v>
      </c>
    </row>
    <row r="53" spans="2:10" ht="15" customHeight="1">
      <c r="B53" s="200" t="s">
        <v>369</v>
      </c>
      <c r="C53" s="89">
        <v>1725</v>
      </c>
      <c r="D53" s="89">
        <v>1471</v>
      </c>
      <c r="E53" s="89">
        <v>200</v>
      </c>
      <c r="F53" s="89">
        <v>4</v>
      </c>
      <c r="G53" s="89">
        <v>21</v>
      </c>
      <c r="H53" s="89">
        <v>27</v>
      </c>
      <c r="I53" s="89">
        <v>2</v>
      </c>
      <c r="J53" s="89">
        <v>63</v>
      </c>
    </row>
    <row r="54" spans="2:10" ht="15" customHeight="1">
      <c r="B54" s="200" t="s">
        <v>370</v>
      </c>
      <c r="C54" s="89">
        <v>3176</v>
      </c>
      <c r="D54" s="89">
        <v>2439</v>
      </c>
      <c r="E54" s="89">
        <v>600</v>
      </c>
      <c r="F54" s="89">
        <v>3</v>
      </c>
      <c r="G54" s="89">
        <v>80</v>
      </c>
      <c r="H54" s="89">
        <v>52</v>
      </c>
      <c r="I54" s="89">
        <v>63</v>
      </c>
      <c r="J54" s="89">
        <v>202</v>
      </c>
    </row>
    <row r="55" spans="2:10" ht="15" customHeight="1">
      <c r="B55" s="200" t="s">
        <v>371</v>
      </c>
      <c r="C55" s="89">
        <v>164</v>
      </c>
      <c r="D55" s="89">
        <v>162</v>
      </c>
      <c r="E55" s="89" t="s">
        <v>284</v>
      </c>
      <c r="F55" s="89" t="s">
        <v>284</v>
      </c>
      <c r="G55" s="89">
        <v>1</v>
      </c>
      <c r="H55" s="89" t="s">
        <v>284</v>
      </c>
      <c r="I55" s="89" t="s">
        <v>284</v>
      </c>
      <c r="J55" s="89">
        <v>5</v>
      </c>
    </row>
    <row r="56" spans="2:10">
      <c r="B56" s="11"/>
      <c r="C56" s="11"/>
      <c r="D56" s="11"/>
      <c r="E56" s="89"/>
      <c r="F56" s="89"/>
      <c r="G56" s="89"/>
      <c r="H56" s="89"/>
      <c r="I56" s="89"/>
      <c r="J56" s="89"/>
    </row>
    <row r="57" spans="2:10">
      <c r="B57" s="200" t="s">
        <v>372</v>
      </c>
      <c r="C57" s="89">
        <v>8839</v>
      </c>
      <c r="D57" s="89">
        <v>7006</v>
      </c>
      <c r="E57" s="89">
        <v>1269</v>
      </c>
      <c r="F57" s="89">
        <v>32</v>
      </c>
      <c r="G57" s="89">
        <v>263</v>
      </c>
      <c r="H57" s="89">
        <v>264</v>
      </c>
      <c r="I57" s="89">
        <v>129</v>
      </c>
      <c r="J57" s="89">
        <v>1188</v>
      </c>
    </row>
    <row r="58" spans="2:10">
      <c r="B58" s="200" t="s">
        <v>373</v>
      </c>
      <c r="C58" s="89">
        <v>16</v>
      </c>
      <c r="D58" s="89">
        <v>16</v>
      </c>
      <c r="E58" s="89" t="s">
        <v>284</v>
      </c>
      <c r="F58" s="89" t="s">
        <v>284</v>
      </c>
      <c r="G58" s="89" t="s">
        <v>284</v>
      </c>
      <c r="H58" s="89" t="s">
        <v>284</v>
      </c>
      <c r="I58" s="89" t="s">
        <v>284</v>
      </c>
      <c r="J58" s="89">
        <v>1</v>
      </c>
    </row>
    <row r="59" spans="2:10">
      <c r="B59" s="200" t="s">
        <v>374</v>
      </c>
      <c r="C59" s="89">
        <v>98</v>
      </c>
      <c r="D59" s="89">
        <v>89</v>
      </c>
      <c r="E59" s="89">
        <v>9</v>
      </c>
      <c r="F59" s="89" t="s">
        <v>284</v>
      </c>
      <c r="G59" s="89" t="s">
        <v>284</v>
      </c>
      <c r="H59" s="89" t="s">
        <v>284</v>
      </c>
      <c r="I59" s="89" t="s">
        <v>284</v>
      </c>
      <c r="J59" s="89">
        <v>4</v>
      </c>
    </row>
    <row r="60" spans="2:10">
      <c r="B60" s="200" t="s">
        <v>375</v>
      </c>
      <c r="C60" s="89">
        <v>802</v>
      </c>
      <c r="D60" s="89">
        <v>749</v>
      </c>
      <c r="E60" s="89">
        <v>6</v>
      </c>
      <c r="F60" s="89" t="s">
        <v>284</v>
      </c>
      <c r="G60" s="89">
        <v>3</v>
      </c>
      <c r="H60" s="89">
        <v>36</v>
      </c>
      <c r="I60" s="89">
        <v>2</v>
      </c>
      <c r="J60" s="89">
        <v>59</v>
      </c>
    </row>
    <row r="61" spans="2:10">
      <c r="B61" s="200" t="s">
        <v>376</v>
      </c>
      <c r="C61" s="89">
        <v>178</v>
      </c>
      <c r="D61" s="89">
        <v>150</v>
      </c>
      <c r="E61" s="89">
        <v>1</v>
      </c>
      <c r="F61" s="89">
        <v>15</v>
      </c>
      <c r="G61" s="89" t="s">
        <v>284</v>
      </c>
      <c r="H61" s="89">
        <v>12</v>
      </c>
      <c r="I61" s="89">
        <v>1</v>
      </c>
      <c r="J61" s="89">
        <v>18</v>
      </c>
    </row>
    <row r="62" spans="2:10">
      <c r="B62" s="200"/>
      <c r="C62" s="89"/>
      <c r="D62" s="89"/>
      <c r="E62" s="89"/>
      <c r="F62" s="89"/>
      <c r="G62" s="89"/>
      <c r="H62" s="89"/>
      <c r="I62" s="89"/>
      <c r="J62" s="89"/>
    </row>
    <row r="63" spans="2:10">
      <c r="B63" s="200" t="s">
        <v>377</v>
      </c>
      <c r="C63" s="89">
        <v>1084</v>
      </c>
      <c r="D63" s="89">
        <v>991</v>
      </c>
      <c r="E63" s="89">
        <v>20</v>
      </c>
      <c r="F63" s="89">
        <v>1</v>
      </c>
      <c r="G63" s="89">
        <v>6</v>
      </c>
      <c r="H63" s="89">
        <v>62</v>
      </c>
      <c r="I63" s="89">
        <v>2</v>
      </c>
      <c r="J63" s="89">
        <v>133</v>
      </c>
    </row>
    <row r="64" spans="2:10">
      <c r="B64" s="200" t="s">
        <v>378</v>
      </c>
      <c r="C64" s="89">
        <v>1676</v>
      </c>
      <c r="D64" s="89">
        <v>1621</v>
      </c>
      <c r="E64" s="89">
        <v>4</v>
      </c>
      <c r="F64" s="89">
        <v>2</v>
      </c>
      <c r="G64" s="89">
        <v>30</v>
      </c>
      <c r="H64" s="89">
        <v>18</v>
      </c>
      <c r="I64" s="89">
        <v>19</v>
      </c>
      <c r="J64" s="89">
        <v>51</v>
      </c>
    </row>
    <row r="65" spans="2:10">
      <c r="B65" s="200" t="s">
        <v>379</v>
      </c>
      <c r="C65" s="89">
        <v>43</v>
      </c>
      <c r="D65" s="89">
        <v>38</v>
      </c>
      <c r="E65" s="89" t="s">
        <v>284</v>
      </c>
      <c r="F65" s="89">
        <v>5</v>
      </c>
      <c r="G65" s="89" t="s">
        <v>284</v>
      </c>
      <c r="H65" s="89" t="s">
        <v>284</v>
      </c>
      <c r="I65" s="89" t="s">
        <v>284</v>
      </c>
      <c r="J65" s="89" t="s">
        <v>284</v>
      </c>
    </row>
    <row r="66" spans="2:10">
      <c r="B66" s="200" t="s">
        <v>380</v>
      </c>
      <c r="C66" s="89">
        <v>96</v>
      </c>
      <c r="D66" s="89">
        <v>72</v>
      </c>
      <c r="E66" s="89" t="s">
        <v>284</v>
      </c>
      <c r="F66" s="89">
        <v>21</v>
      </c>
      <c r="G66" s="89">
        <v>2</v>
      </c>
      <c r="H66" s="89">
        <v>1</v>
      </c>
      <c r="I66" s="89" t="s">
        <v>284</v>
      </c>
      <c r="J66" s="89">
        <v>1</v>
      </c>
    </row>
    <row r="67" spans="2:10">
      <c r="B67" s="200" t="s">
        <v>381</v>
      </c>
      <c r="C67" s="89">
        <v>9386</v>
      </c>
      <c r="D67" s="89">
        <v>7126</v>
      </c>
      <c r="E67" s="89">
        <v>1575</v>
      </c>
      <c r="F67" s="89">
        <v>40</v>
      </c>
      <c r="G67" s="89">
        <v>415</v>
      </c>
      <c r="H67" s="89">
        <v>138</v>
      </c>
      <c r="I67" s="89">
        <v>764</v>
      </c>
      <c r="J67" s="89">
        <v>298</v>
      </c>
    </row>
    <row r="68" spans="2:10">
      <c r="B68" s="131"/>
      <c r="C68" s="89"/>
      <c r="D68" s="89"/>
      <c r="E68" s="89"/>
      <c r="F68" s="89"/>
      <c r="G68" s="89"/>
      <c r="H68" s="89"/>
      <c r="I68" s="89"/>
      <c r="J68" s="89"/>
    </row>
    <row r="69" spans="2:10">
      <c r="B69" s="200" t="s">
        <v>382</v>
      </c>
      <c r="C69" s="89">
        <v>175</v>
      </c>
      <c r="D69" s="89">
        <v>164</v>
      </c>
      <c r="E69" s="89">
        <v>1</v>
      </c>
      <c r="F69" s="89">
        <v>7</v>
      </c>
      <c r="G69" s="89">
        <v>1</v>
      </c>
      <c r="H69" s="89">
        <v>2</v>
      </c>
      <c r="I69" s="89">
        <v>1</v>
      </c>
      <c r="J69" s="89">
        <v>6</v>
      </c>
    </row>
    <row r="70" spans="2:10">
      <c r="B70" s="200" t="s">
        <v>383</v>
      </c>
      <c r="C70" s="89">
        <v>599</v>
      </c>
      <c r="D70" s="89">
        <v>573</v>
      </c>
      <c r="E70" s="89">
        <v>3</v>
      </c>
      <c r="F70" s="89">
        <v>13</v>
      </c>
      <c r="G70" s="89">
        <v>5</v>
      </c>
      <c r="H70" s="89">
        <v>4</v>
      </c>
      <c r="I70" s="89" t="s">
        <v>284</v>
      </c>
      <c r="J70" s="89">
        <v>14</v>
      </c>
    </row>
    <row r="71" spans="2:10">
      <c r="B71" s="200" t="s">
        <v>384</v>
      </c>
      <c r="C71" s="89">
        <v>270</v>
      </c>
      <c r="D71" s="89">
        <v>263</v>
      </c>
      <c r="E71" s="89">
        <v>1</v>
      </c>
      <c r="F71" s="89">
        <v>3</v>
      </c>
      <c r="G71" s="89">
        <v>1</v>
      </c>
      <c r="H71" s="89">
        <v>2</v>
      </c>
      <c r="I71" s="89">
        <v>1</v>
      </c>
      <c r="J71" s="89">
        <v>13</v>
      </c>
    </row>
    <row r="72" spans="2:10">
      <c r="B72" s="200" t="s">
        <v>385</v>
      </c>
      <c r="C72" s="89">
        <v>413</v>
      </c>
      <c r="D72" s="89">
        <v>393</v>
      </c>
      <c r="E72" s="89">
        <v>16</v>
      </c>
      <c r="F72" s="89">
        <v>2</v>
      </c>
      <c r="G72" s="89">
        <v>2</v>
      </c>
      <c r="H72" s="89" t="s">
        <v>284</v>
      </c>
      <c r="I72" s="89">
        <v>7</v>
      </c>
      <c r="J72" s="89">
        <v>5</v>
      </c>
    </row>
    <row r="73" spans="2:10">
      <c r="B73" s="200" t="s">
        <v>386</v>
      </c>
      <c r="C73" s="89">
        <v>220</v>
      </c>
      <c r="D73" s="89">
        <v>193</v>
      </c>
      <c r="E73" s="89">
        <v>3</v>
      </c>
      <c r="F73" s="89">
        <v>21</v>
      </c>
      <c r="G73" s="89">
        <v>1</v>
      </c>
      <c r="H73" s="89">
        <v>1</v>
      </c>
      <c r="I73" s="89" t="s">
        <v>284</v>
      </c>
      <c r="J73" s="89">
        <v>10</v>
      </c>
    </row>
    <row r="74" spans="2:10">
      <c r="B74" s="200"/>
      <c r="C74" s="89"/>
      <c r="D74" s="89"/>
      <c r="E74" s="89"/>
      <c r="F74" s="89"/>
      <c r="G74" s="89"/>
      <c r="H74" s="89"/>
      <c r="I74" s="89"/>
      <c r="J74" s="89"/>
    </row>
    <row r="75" spans="2:10">
      <c r="B75" s="200" t="s">
        <v>387</v>
      </c>
      <c r="C75" s="89">
        <v>835</v>
      </c>
      <c r="D75" s="89">
        <v>773</v>
      </c>
      <c r="E75" s="89">
        <v>14</v>
      </c>
      <c r="F75" s="89">
        <v>3</v>
      </c>
      <c r="G75" s="89">
        <v>42</v>
      </c>
      <c r="H75" s="89">
        <v>2</v>
      </c>
      <c r="I75" s="89">
        <v>4</v>
      </c>
      <c r="J75" s="89">
        <v>31</v>
      </c>
    </row>
    <row r="76" spans="2:10">
      <c r="B76" s="200" t="s">
        <v>388</v>
      </c>
      <c r="C76" s="89">
        <v>162</v>
      </c>
      <c r="D76" s="89">
        <v>159</v>
      </c>
      <c r="E76" s="89" t="s">
        <v>284</v>
      </c>
      <c r="F76" s="89" t="s">
        <v>284</v>
      </c>
      <c r="G76" s="89">
        <v>1</v>
      </c>
      <c r="H76" s="89">
        <v>2</v>
      </c>
      <c r="I76" s="89">
        <v>1</v>
      </c>
      <c r="J76" s="89">
        <v>9</v>
      </c>
    </row>
    <row r="77" spans="2:10">
      <c r="B77" s="200" t="s">
        <v>389</v>
      </c>
      <c r="C77" s="89">
        <v>1520</v>
      </c>
      <c r="D77" s="89">
        <v>1412</v>
      </c>
      <c r="E77" s="89">
        <v>47</v>
      </c>
      <c r="F77" s="89">
        <v>4</v>
      </c>
      <c r="G77" s="89">
        <v>22</v>
      </c>
      <c r="H77" s="89">
        <v>30</v>
      </c>
      <c r="I77" s="89">
        <v>3</v>
      </c>
      <c r="J77" s="89">
        <v>60</v>
      </c>
    </row>
    <row r="78" spans="2:10">
      <c r="B78" s="200" t="s">
        <v>390</v>
      </c>
      <c r="C78" s="89">
        <v>755</v>
      </c>
      <c r="D78" s="89">
        <v>738</v>
      </c>
      <c r="E78" s="89">
        <v>5</v>
      </c>
      <c r="F78" s="89">
        <v>1</v>
      </c>
      <c r="G78" s="89">
        <v>1</v>
      </c>
      <c r="H78" s="89">
        <v>6</v>
      </c>
      <c r="I78" s="89">
        <v>1</v>
      </c>
      <c r="J78" s="89">
        <v>34</v>
      </c>
    </row>
    <row r="79" spans="2:10">
      <c r="B79" s="200" t="s">
        <v>391</v>
      </c>
      <c r="C79" s="89">
        <v>58</v>
      </c>
      <c r="D79" s="89">
        <v>57</v>
      </c>
      <c r="E79" s="89" t="s">
        <v>284</v>
      </c>
      <c r="F79" s="89" t="s">
        <v>284</v>
      </c>
      <c r="G79" s="89">
        <v>1</v>
      </c>
      <c r="H79" s="89" t="s">
        <v>284</v>
      </c>
      <c r="I79" s="89" t="s">
        <v>284</v>
      </c>
      <c r="J79" s="89">
        <v>1</v>
      </c>
    </row>
    <row r="80" spans="2:10">
      <c r="B80" s="200"/>
      <c r="C80" s="89"/>
      <c r="D80" s="89"/>
      <c r="E80" s="89"/>
      <c r="F80" s="89"/>
      <c r="G80" s="89"/>
      <c r="H80" s="89"/>
      <c r="I80" s="89"/>
      <c r="J80" s="89"/>
    </row>
    <row r="81" spans="2:10">
      <c r="B81" s="200" t="s">
        <v>392</v>
      </c>
      <c r="C81" s="89">
        <v>2132</v>
      </c>
      <c r="D81" s="89">
        <v>1591</v>
      </c>
      <c r="E81" s="89">
        <v>457</v>
      </c>
      <c r="F81" s="89">
        <v>20</v>
      </c>
      <c r="G81" s="89">
        <v>19</v>
      </c>
      <c r="H81" s="89">
        <v>43</v>
      </c>
      <c r="I81" s="89">
        <v>8</v>
      </c>
      <c r="J81" s="89">
        <v>189</v>
      </c>
    </row>
    <row r="82" spans="2:10">
      <c r="B82" s="200" t="s">
        <v>393</v>
      </c>
      <c r="C82" s="89">
        <v>535</v>
      </c>
      <c r="D82" s="89">
        <v>507</v>
      </c>
      <c r="E82" s="89">
        <v>4</v>
      </c>
      <c r="F82" s="89">
        <v>3</v>
      </c>
      <c r="G82" s="89" t="s">
        <v>284</v>
      </c>
      <c r="H82" s="89">
        <v>19</v>
      </c>
      <c r="I82" s="89" t="s">
        <v>284</v>
      </c>
      <c r="J82" s="89">
        <v>46</v>
      </c>
    </row>
    <row r="83" spans="2:10">
      <c r="B83" s="200" t="s">
        <v>394</v>
      </c>
      <c r="C83" s="89">
        <v>13501</v>
      </c>
      <c r="D83" s="89">
        <v>9669</v>
      </c>
      <c r="E83" s="89">
        <v>2242</v>
      </c>
      <c r="F83" s="89">
        <v>30</v>
      </c>
      <c r="G83" s="89">
        <v>1177</v>
      </c>
      <c r="H83" s="89">
        <v>362</v>
      </c>
      <c r="I83" s="89">
        <v>814</v>
      </c>
      <c r="J83" s="89">
        <v>797</v>
      </c>
    </row>
    <row r="84" spans="2:10">
      <c r="B84" s="200" t="s">
        <v>395</v>
      </c>
      <c r="C84" s="89">
        <v>274</v>
      </c>
      <c r="D84" s="89">
        <v>252</v>
      </c>
      <c r="E84" s="89">
        <v>1</v>
      </c>
      <c r="F84" s="89">
        <v>6</v>
      </c>
      <c r="G84" s="89">
        <v>1</v>
      </c>
      <c r="H84" s="89">
        <v>14</v>
      </c>
      <c r="I84" s="89" t="s">
        <v>284</v>
      </c>
      <c r="J84" s="89">
        <v>67</v>
      </c>
    </row>
    <row r="85" spans="2:10">
      <c r="B85" s="200" t="s">
        <v>396</v>
      </c>
      <c r="C85" s="89">
        <v>176</v>
      </c>
      <c r="D85" s="89">
        <v>172</v>
      </c>
      <c r="E85" s="89">
        <v>1</v>
      </c>
      <c r="F85" s="89">
        <v>2</v>
      </c>
      <c r="G85" s="89">
        <v>1</v>
      </c>
      <c r="H85" s="89" t="s">
        <v>284</v>
      </c>
      <c r="I85" s="89" t="s">
        <v>284</v>
      </c>
      <c r="J85" s="89">
        <v>7</v>
      </c>
    </row>
    <row r="86" spans="2:10">
      <c r="B86" s="200"/>
      <c r="C86" s="89"/>
      <c r="D86" s="89"/>
      <c r="E86" s="89"/>
      <c r="F86" s="89"/>
      <c r="G86" s="89"/>
      <c r="H86" s="89"/>
      <c r="I86" s="89"/>
      <c r="J86" s="89"/>
    </row>
    <row r="87" spans="2:10">
      <c r="B87" s="200" t="s">
        <v>397</v>
      </c>
      <c r="C87" s="89">
        <v>28</v>
      </c>
      <c r="D87" s="89">
        <v>27</v>
      </c>
      <c r="E87" s="89" t="s">
        <v>284</v>
      </c>
      <c r="F87" s="89">
        <v>1</v>
      </c>
      <c r="G87" s="89" t="s">
        <v>284</v>
      </c>
      <c r="H87" s="89" t="s">
        <v>284</v>
      </c>
      <c r="I87" s="89" t="s">
        <v>284</v>
      </c>
      <c r="J87" s="89">
        <v>2</v>
      </c>
    </row>
    <row r="88" spans="2:10">
      <c r="B88" s="200" t="s">
        <v>398</v>
      </c>
      <c r="C88" s="89">
        <v>261</v>
      </c>
      <c r="D88" s="89">
        <v>254</v>
      </c>
      <c r="E88" s="89">
        <v>3</v>
      </c>
      <c r="F88" s="89">
        <v>2</v>
      </c>
      <c r="G88" s="89">
        <v>2</v>
      </c>
      <c r="H88" s="89" t="s">
        <v>284</v>
      </c>
      <c r="I88" s="89" t="s">
        <v>284</v>
      </c>
      <c r="J88" s="89">
        <v>5</v>
      </c>
    </row>
    <row r="89" spans="2:10">
      <c r="B89" s="200" t="s">
        <v>399</v>
      </c>
      <c r="C89" s="89">
        <v>66</v>
      </c>
      <c r="D89" s="89">
        <v>65</v>
      </c>
      <c r="E89" s="89" t="s">
        <v>284</v>
      </c>
      <c r="F89" s="89">
        <v>1</v>
      </c>
      <c r="G89" s="89" t="s">
        <v>284</v>
      </c>
      <c r="H89" s="89" t="s">
        <v>284</v>
      </c>
      <c r="I89" s="89" t="s">
        <v>284</v>
      </c>
      <c r="J89" s="89">
        <v>1</v>
      </c>
    </row>
    <row r="90" spans="2:10">
      <c r="B90" s="200" t="s">
        <v>400</v>
      </c>
      <c r="C90" s="89">
        <v>229</v>
      </c>
      <c r="D90" s="89">
        <v>219</v>
      </c>
      <c r="E90" s="89">
        <v>1</v>
      </c>
      <c r="F90" s="89">
        <v>4</v>
      </c>
      <c r="G90" s="89">
        <v>3</v>
      </c>
      <c r="H90" s="89">
        <v>1</v>
      </c>
      <c r="I90" s="89">
        <v>1</v>
      </c>
      <c r="J90" s="89">
        <v>7</v>
      </c>
    </row>
    <row r="91" spans="2:10">
      <c r="B91" s="200" t="s">
        <v>401</v>
      </c>
      <c r="C91" s="89">
        <v>3377</v>
      </c>
      <c r="D91" s="89">
        <v>3181</v>
      </c>
      <c r="E91" s="89">
        <v>60</v>
      </c>
      <c r="F91" s="89">
        <v>12</v>
      </c>
      <c r="G91" s="89">
        <v>107</v>
      </c>
      <c r="H91" s="89">
        <v>14</v>
      </c>
      <c r="I91" s="89">
        <v>4</v>
      </c>
      <c r="J91" s="89">
        <v>470</v>
      </c>
    </row>
    <row r="92" spans="2:10">
      <c r="B92" s="200"/>
      <c r="C92" s="89"/>
      <c r="D92" s="89"/>
      <c r="E92" s="89"/>
      <c r="F92" s="89"/>
      <c r="G92" s="89"/>
      <c r="H92" s="89"/>
      <c r="I92" s="89"/>
      <c r="J92" s="89"/>
    </row>
    <row r="93" spans="2:10">
      <c r="B93" s="200" t="s">
        <v>402</v>
      </c>
      <c r="C93" s="89">
        <v>88</v>
      </c>
      <c r="D93" s="89">
        <v>88</v>
      </c>
      <c r="E93" s="89" t="s">
        <v>284</v>
      </c>
      <c r="F93" s="89" t="s">
        <v>284</v>
      </c>
      <c r="G93" s="89" t="s">
        <v>284</v>
      </c>
      <c r="H93" s="89" t="s">
        <v>284</v>
      </c>
      <c r="I93" s="89" t="s">
        <v>284</v>
      </c>
      <c r="J93" s="89">
        <v>1</v>
      </c>
    </row>
    <row r="94" spans="2:10">
      <c r="B94" s="200" t="s">
        <v>403</v>
      </c>
      <c r="C94" s="89">
        <v>171</v>
      </c>
      <c r="D94" s="89">
        <v>168</v>
      </c>
      <c r="E94" s="89" t="s">
        <v>284</v>
      </c>
      <c r="F94" s="89" t="s">
        <v>284</v>
      </c>
      <c r="G94" s="89">
        <v>2</v>
      </c>
      <c r="H94" s="89">
        <v>1</v>
      </c>
      <c r="I94" s="89" t="s">
        <v>284</v>
      </c>
      <c r="J94" s="89">
        <v>4</v>
      </c>
    </row>
    <row r="95" spans="2:10">
      <c r="B95" s="200" t="s">
        <v>404</v>
      </c>
      <c r="C95" s="89">
        <v>2278</v>
      </c>
      <c r="D95" s="89">
        <v>1562</v>
      </c>
      <c r="E95" s="89">
        <v>641</v>
      </c>
      <c r="F95" s="89">
        <v>17</v>
      </c>
      <c r="G95" s="89">
        <v>42</v>
      </c>
      <c r="H95" s="89">
        <v>16</v>
      </c>
      <c r="I95" s="89">
        <v>45</v>
      </c>
      <c r="J95" s="89">
        <v>252</v>
      </c>
    </row>
    <row r="96" spans="2:10">
      <c r="B96" s="200" t="s">
        <v>405</v>
      </c>
      <c r="C96" s="89">
        <v>1550</v>
      </c>
      <c r="D96" s="89">
        <v>1455</v>
      </c>
      <c r="E96" s="89">
        <v>61</v>
      </c>
      <c r="F96" s="89">
        <v>5</v>
      </c>
      <c r="G96" s="89">
        <v>8</v>
      </c>
      <c r="H96" s="89">
        <v>18</v>
      </c>
      <c r="I96" s="89">
        <v>8</v>
      </c>
      <c r="J96" s="89">
        <v>49</v>
      </c>
    </row>
    <row r="97" spans="2:10">
      <c r="B97" s="200" t="s">
        <v>406</v>
      </c>
      <c r="C97" s="89">
        <v>860</v>
      </c>
      <c r="D97" s="89">
        <v>816</v>
      </c>
      <c r="E97" s="89">
        <v>23</v>
      </c>
      <c r="F97" s="89">
        <v>2</v>
      </c>
      <c r="G97" s="89">
        <v>7</v>
      </c>
      <c r="H97" s="89">
        <v>11</v>
      </c>
      <c r="I97" s="89">
        <v>2</v>
      </c>
      <c r="J97" s="89">
        <v>111</v>
      </c>
    </row>
    <row r="98" spans="2:10">
      <c r="B98" s="200"/>
      <c r="C98" s="89"/>
      <c r="D98" s="89"/>
      <c r="E98" s="89"/>
      <c r="F98" s="89"/>
      <c r="G98" s="89"/>
      <c r="H98" s="89"/>
      <c r="I98" s="89"/>
      <c r="J98" s="89"/>
    </row>
    <row r="99" spans="2:10">
      <c r="B99" s="200" t="s">
        <v>407</v>
      </c>
      <c r="C99" s="89">
        <v>445</v>
      </c>
      <c r="D99" s="89">
        <v>437</v>
      </c>
      <c r="E99" s="89">
        <v>1</v>
      </c>
      <c r="F99" s="89">
        <v>1</v>
      </c>
      <c r="G99" s="89">
        <v>3</v>
      </c>
      <c r="H99" s="89">
        <v>3</v>
      </c>
      <c r="I99" s="89">
        <v>1</v>
      </c>
      <c r="J99" s="89">
        <v>11</v>
      </c>
    </row>
    <row r="100" spans="2:10">
      <c r="B100" s="200" t="s">
        <v>408</v>
      </c>
      <c r="C100" s="89">
        <v>66</v>
      </c>
      <c r="D100" s="89">
        <v>54</v>
      </c>
      <c r="E100" s="89" t="s">
        <v>284</v>
      </c>
      <c r="F100" s="89">
        <v>12</v>
      </c>
      <c r="G100" s="89" t="s">
        <v>284</v>
      </c>
      <c r="H100" s="89" t="s">
        <v>284</v>
      </c>
      <c r="I100" s="89" t="s">
        <v>284</v>
      </c>
      <c r="J100" s="89">
        <v>1</v>
      </c>
    </row>
    <row r="101" spans="2:10">
      <c r="B101" s="200" t="s">
        <v>409</v>
      </c>
      <c r="C101" s="89">
        <v>744</v>
      </c>
      <c r="D101" s="89">
        <v>720</v>
      </c>
      <c r="E101" s="89">
        <v>5</v>
      </c>
      <c r="F101" s="89">
        <v>3</v>
      </c>
      <c r="G101" s="89">
        <v>7</v>
      </c>
      <c r="H101" s="89">
        <v>9</v>
      </c>
      <c r="I101" s="89">
        <v>1</v>
      </c>
      <c r="J101" s="89">
        <v>32</v>
      </c>
    </row>
    <row r="102" spans="2:10">
      <c r="B102" s="200" t="s">
        <v>410</v>
      </c>
      <c r="C102" s="89">
        <v>549</v>
      </c>
      <c r="D102" s="89">
        <v>541</v>
      </c>
      <c r="E102" s="89">
        <v>2</v>
      </c>
      <c r="F102" s="89">
        <v>2</v>
      </c>
      <c r="G102" s="89">
        <v>2</v>
      </c>
      <c r="H102" s="89">
        <v>2</v>
      </c>
      <c r="I102" s="89">
        <v>1</v>
      </c>
      <c r="J102" s="89">
        <v>11</v>
      </c>
    </row>
    <row r="103" spans="2:10">
      <c r="B103" s="200" t="s">
        <v>411</v>
      </c>
      <c r="C103" s="89">
        <v>906</v>
      </c>
      <c r="D103" s="89">
        <v>804</v>
      </c>
      <c r="E103" s="89">
        <v>38</v>
      </c>
      <c r="F103" s="89">
        <v>4</v>
      </c>
      <c r="G103" s="89">
        <v>8</v>
      </c>
      <c r="H103" s="89">
        <v>49</v>
      </c>
      <c r="I103" s="89" t="s">
        <v>284</v>
      </c>
      <c r="J103" s="89">
        <v>190</v>
      </c>
    </row>
    <row r="104" spans="2:10">
      <c r="B104" s="131"/>
      <c r="C104" s="89"/>
      <c r="D104" s="89"/>
      <c r="E104" s="89"/>
      <c r="F104" s="89"/>
      <c r="G104" s="89"/>
      <c r="H104" s="89"/>
      <c r="I104" s="89"/>
      <c r="J104" s="89"/>
    </row>
    <row r="105" spans="2:10">
      <c r="B105" s="200" t="s">
        <v>412</v>
      </c>
      <c r="C105" s="89">
        <v>3662</v>
      </c>
      <c r="D105" s="89">
        <v>2535</v>
      </c>
      <c r="E105" s="89">
        <v>582</v>
      </c>
      <c r="F105" s="89">
        <v>13</v>
      </c>
      <c r="G105" s="89">
        <v>399</v>
      </c>
      <c r="H105" s="89">
        <v>131</v>
      </c>
      <c r="I105" s="89">
        <v>157</v>
      </c>
      <c r="J105" s="89">
        <v>195</v>
      </c>
    </row>
    <row r="106" spans="2:10">
      <c r="B106" s="200" t="s">
        <v>413</v>
      </c>
      <c r="C106" s="89">
        <v>23608</v>
      </c>
      <c r="D106" s="89">
        <v>10266</v>
      </c>
      <c r="E106" s="89">
        <v>10988</v>
      </c>
      <c r="F106" s="89">
        <v>34</v>
      </c>
      <c r="G106" s="89">
        <v>752</v>
      </c>
      <c r="H106" s="89">
        <v>1559</v>
      </c>
      <c r="I106" s="89">
        <v>2311</v>
      </c>
      <c r="J106" s="89">
        <v>1740</v>
      </c>
    </row>
    <row r="107" spans="2:10">
      <c r="B107" s="200" t="s">
        <v>414</v>
      </c>
      <c r="C107" s="89">
        <v>431</v>
      </c>
      <c r="D107" s="89">
        <v>424</v>
      </c>
      <c r="E107" s="89">
        <v>1</v>
      </c>
      <c r="F107" s="89">
        <v>3</v>
      </c>
      <c r="G107" s="89">
        <v>2</v>
      </c>
      <c r="H107" s="89">
        <v>1</v>
      </c>
      <c r="I107" s="89" t="s">
        <v>284</v>
      </c>
      <c r="J107" s="89">
        <v>15</v>
      </c>
    </row>
    <row r="108" spans="2:10">
      <c r="B108" s="65"/>
      <c r="C108" s="65"/>
      <c r="D108" s="65"/>
      <c r="E108" s="65"/>
      <c r="F108" s="65"/>
      <c r="G108" s="65"/>
      <c r="H108" s="65"/>
      <c r="I108" s="65"/>
      <c r="J108" s="65"/>
    </row>
    <row r="109" spans="2:10" ht="15.75">
      <c r="B109" s="352" t="s">
        <v>152</v>
      </c>
      <c r="C109" s="353"/>
      <c r="D109" s="353"/>
      <c r="E109" s="353"/>
      <c r="F109" s="353"/>
      <c r="G109" s="353"/>
      <c r="H109" s="353"/>
      <c r="I109" s="353"/>
      <c r="J109" s="353"/>
    </row>
    <row r="110" spans="2:10" ht="31.5" customHeight="1">
      <c r="B110" s="281" t="s">
        <v>610</v>
      </c>
      <c r="C110" s="280"/>
      <c r="D110" s="280"/>
      <c r="E110" s="280"/>
      <c r="F110" s="280"/>
      <c r="G110" s="280"/>
      <c r="H110" s="280"/>
      <c r="I110" s="280"/>
      <c r="J110" s="280"/>
    </row>
  </sheetData>
  <mergeCells count="9">
    <mergeCell ref="B109:J109"/>
    <mergeCell ref="B110:J110"/>
    <mergeCell ref="F5:F6"/>
    <mergeCell ref="G5:G6"/>
    <mergeCell ref="H5:H6"/>
    <mergeCell ref="B5:B6"/>
    <mergeCell ref="C5:C6"/>
    <mergeCell ref="D5:D6"/>
    <mergeCell ref="E5:E6"/>
  </mergeCells>
  <phoneticPr fontId="1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workbookViewId="0"/>
  </sheetViews>
  <sheetFormatPr defaultRowHeight="15"/>
  <cols>
    <col min="1" max="1" width="4.6640625" style="2" customWidth="1"/>
    <col min="2" max="2" width="21.33203125" style="2" bestFit="1" customWidth="1"/>
    <col min="3" max="3" width="12.5" style="2" bestFit="1" customWidth="1"/>
    <col min="4" max="5" width="10.5" style="2" bestFit="1" customWidth="1"/>
    <col min="6" max="6" width="13.1640625" style="2" customWidth="1"/>
    <col min="7" max="7" width="12.5" style="2" customWidth="1"/>
    <col min="8" max="8" width="9" style="2" customWidth="1"/>
    <col min="9" max="9" width="12" style="2" bestFit="1" customWidth="1"/>
    <col min="10" max="10" width="9" style="2" bestFit="1" customWidth="1"/>
    <col min="11" max="11" width="11.6640625" style="2" bestFit="1" customWidth="1"/>
    <col min="12" max="12" width="9.33203125" style="2"/>
    <col min="13" max="13" width="12.6640625" style="2" bestFit="1" customWidth="1"/>
    <col min="14" max="16384" width="9.33203125" style="2"/>
  </cols>
  <sheetData>
    <row r="1" spans="1:13" ht="15.75">
      <c r="A1" s="1"/>
      <c r="B1" s="110"/>
    </row>
    <row r="2" spans="1:13">
      <c r="B2" s="4" t="s">
        <v>153</v>
      </c>
      <c r="C2" s="4"/>
      <c r="D2" s="4"/>
      <c r="E2" s="4"/>
      <c r="F2" s="4"/>
      <c r="G2" s="4"/>
      <c r="H2" s="4"/>
      <c r="I2" s="4"/>
      <c r="J2" s="4"/>
      <c r="K2" s="4"/>
    </row>
    <row r="3" spans="1:13" ht="15.75">
      <c r="B3" s="62" t="s">
        <v>154</v>
      </c>
      <c r="C3" s="4"/>
      <c r="D3" s="4"/>
      <c r="E3" s="4"/>
      <c r="F3" s="4"/>
      <c r="G3" s="4"/>
      <c r="H3" s="4"/>
      <c r="I3" s="4"/>
      <c r="J3" s="4"/>
      <c r="K3" s="4"/>
    </row>
    <row r="4" spans="1:13">
      <c r="B4" s="4" t="s">
        <v>567</v>
      </c>
      <c r="C4" s="4"/>
      <c r="D4" s="4"/>
      <c r="E4" s="4"/>
      <c r="F4" s="4"/>
      <c r="G4" s="4"/>
      <c r="H4" s="4"/>
      <c r="I4" s="4"/>
      <c r="J4" s="4"/>
      <c r="K4" s="4"/>
    </row>
    <row r="5" spans="1:13">
      <c r="B5" s="302" t="s">
        <v>133</v>
      </c>
      <c r="C5" s="302" t="s">
        <v>544</v>
      </c>
      <c r="D5" s="302" t="s">
        <v>545</v>
      </c>
      <c r="E5" s="302" t="s">
        <v>546</v>
      </c>
      <c r="F5" s="315" t="s">
        <v>547</v>
      </c>
      <c r="G5" s="315" t="s">
        <v>548</v>
      </c>
      <c r="H5" s="315" t="s">
        <v>148</v>
      </c>
      <c r="I5" s="356" t="s">
        <v>415</v>
      </c>
      <c r="J5" s="237" t="s">
        <v>149</v>
      </c>
      <c r="K5" s="41"/>
    </row>
    <row r="6" spans="1:13" ht="28.5" customHeight="1">
      <c r="B6" s="292"/>
      <c r="C6" s="292"/>
      <c r="D6" s="316"/>
      <c r="E6" s="316"/>
      <c r="F6" s="292"/>
      <c r="G6" s="292"/>
      <c r="H6" s="292"/>
      <c r="I6" s="357"/>
      <c r="J6" s="236" t="s">
        <v>150</v>
      </c>
      <c r="K6" s="32" t="s">
        <v>151</v>
      </c>
      <c r="M6" s="38"/>
    </row>
    <row r="7" spans="1:13" ht="20.100000000000001" customHeight="1">
      <c r="B7" s="199" t="s">
        <v>156</v>
      </c>
      <c r="C7" s="78">
        <v>92463</v>
      </c>
      <c r="D7" s="78">
        <v>78325</v>
      </c>
      <c r="E7" s="78">
        <v>12606</v>
      </c>
      <c r="F7" s="78">
        <v>530</v>
      </c>
      <c r="G7" s="78">
        <v>600</v>
      </c>
      <c r="H7" s="78">
        <v>367</v>
      </c>
      <c r="I7" s="78">
        <v>35</v>
      </c>
      <c r="J7" s="78">
        <v>1015</v>
      </c>
      <c r="K7" s="78">
        <v>1374</v>
      </c>
      <c r="M7" s="38"/>
    </row>
    <row r="8" spans="1:13">
      <c r="B8" s="131"/>
      <c r="C8" s="49"/>
      <c r="D8" s="49"/>
      <c r="E8" s="49"/>
      <c r="F8" s="49"/>
      <c r="G8" s="49"/>
      <c r="H8" s="49"/>
      <c r="I8" s="49"/>
      <c r="J8" s="49"/>
      <c r="K8" s="49"/>
    </row>
    <row r="9" spans="1:13" ht="15" customHeight="1">
      <c r="B9" s="200" t="s">
        <v>332</v>
      </c>
      <c r="C9" s="49">
        <v>185</v>
      </c>
      <c r="D9" s="49">
        <v>185</v>
      </c>
      <c r="E9" s="89" t="s">
        <v>284</v>
      </c>
      <c r="F9" s="89" t="s">
        <v>284</v>
      </c>
      <c r="G9" s="89" t="s">
        <v>284</v>
      </c>
      <c r="H9" s="89" t="s">
        <v>284</v>
      </c>
      <c r="I9" s="89" t="s">
        <v>284</v>
      </c>
      <c r="J9" s="89" t="s">
        <v>284</v>
      </c>
      <c r="K9" s="89" t="s">
        <v>284</v>
      </c>
    </row>
    <row r="10" spans="1:13" ht="15" customHeight="1">
      <c r="B10" s="200" t="s">
        <v>333</v>
      </c>
      <c r="C10" s="49">
        <v>102</v>
      </c>
      <c r="D10" s="49">
        <v>98</v>
      </c>
      <c r="E10" s="89" t="s">
        <v>284</v>
      </c>
      <c r="F10" s="89">
        <v>4</v>
      </c>
      <c r="G10" s="89" t="s">
        <v>284</v>
      </c>
      <c r="H10" s="89" t="s">
        <v>284</v>
      </c>
      <c r="I10" s="89" t="s">
        <v>284</v>
      </c>
      <c r="J10" s="89" t="s">
        <v>284</v>
      </c>
      <c r="K10" s="89" t="s">
        <v>284</v>
      </c>
    </row>
    <row r="11" spans="1:13" ht="15" customHeight="1">
      <c r="B11" s="200" t="s">
        <v>334</v>
      </c>
      <c r="C11" s="49">
        <v>949</v>
      </c>
      <c r="D11" s="49">
        <v>926</v>
      </c>
      <c r="E11" s="89">
        <v>17</v>
      </c>
      <c r="F11" s="89">
        <v>4</v>
      </c>
      <c r="G11" s="89">
        <v>2</v>
      </c>
      <c r="H11" s="89" t="s">
        <v>284</v>
      </c>
      <c r="I11" s="89" t="s">
        <v>284</v>
      </c>
      <c r="J11" s="89">
        <v>1</v>
      </c>
      <c r="K11" s="89">
        <v>19</v>
      </c>
    </row>
    <row r="12" spans="1:13" ht="15" customHeight="1">
      <c r="B12" s="200" t="s">
        <v>335</v>
      </c>
      <c r="C12" s="49">
        <v>354</v>
      </c>
      <c r="D12" s="49">
        <v>354</v>
      </c>
      <c r="E12" s="89" t="s">
        <v>284</v>
      </c>
      <c r="F12" s="89" t="s">
        <v>284</v>
      </c>
      <c r="G12" s="89" t="s">
        <v>284</v>
      </c>
      <c r="H12" s="89" t="s">
        <v>284</v>
      </c>
      <c r="I12" s="89" t="s">
        <v>284</v>
      </c>
      <c r="J12" s="89">
        <v>2</v>
      </c>
      <c r="K12" s="89" t="s">
        <v>284</v>
      </c>
    </row>
    <row r="13" spans="1:13" ht="15" customHeight="1">
      <c r="B13" s="200" t="s">
        <v>336</v>
      </c>
      <c r="C13" s="49">
        <v>272</v>
      </c>
      <c r="D13" s="49">
        <v>268</v>
      </c>
      <c r="E13" s="89" t="s">
        <v>284</v>
      </c>
      <c r="F13" s="89">
        <v>4</v>
      </c>
      <c r="G13" s="89" t="s">
        <v>284</v>
      </c>
      <c r="H13" s="89" t="s">
        <v>284</v>
      </c>
      <c r="I13" s="89" t="s">
        <v>284</v>
      </c>
      <c r="J13" s="89">
        <v>1</v>
      </c>
      <c r="K13" s="89">
        <v>1</v>
      </c>
    </row>
    <row r="14" spans="1:13" ht="12.75" customHeight="1">
      <c r="B14" s="200"/>
      <c r="C14" s="49"/>
      <c r="D14" s="49"/>
      <c r="E14" s="89"/>
      <c r="F14" s="89"/>
      <c r="G14" s="89"/>
      <c r="H14" s="89"/>
      <c r="I14" s="89"/>
      <c r="J14" s="89"/>
      <c r="K14" s="89"/>
    </row>
    <row r="15" spans="1:13" ht="15" customHeight="1">
      <c r="B15" s="200" t="s">
        <v>337</v>
      </c>
      <c r="C15" s="49">
        <v>221</v>
      </c>
      <c r="D15" s="49">
        <v>214</v>
      </c>
      <c r="E15" s="89">
        <v>1</v>
      </c>
      <c r="F15" s="89">
        <v>4</v>
      </c>
      <c r="G15" s="89">
        <v>1</v>
      </c>
      <c r="H15" s="89">
        <v>1</v>
      </c>
      <c r="I15" s="89" t="s">
        <v>284</v>
      </c>
      <c r="J15" s="89" t="s">
        <v>284</v>
      </c>
      <c r="K15" s="89">
        <v>1</v>
      </c>
    </row>
    <row r="16" spans="1:13" ht="15" customHeight="1">
      <c r="B16" s="200" t="s">
        <v>338</v>
      </c>
      <c r="C16" s="49">
        <v>102</v>
      </c>
      <c r="D16" s="49">
        <v>92</v>
      </c>
      <c r="E16" s="89">
        <v>1</v>
      </c>
      <c r="F16" s="89">
        <v>9</v>
      </c>
      <c r="G16" s="89" t="s">
        <v>284</v>
      </c>
      <c r="H16" s="89" t="s">
        <v>284</v>
      </c>
      <c r="I16" s="89" t="s">
        <v>284</v>
      </c>
      <c r="J16" s="89" t="s">
        <v>284</v>
      </c>
      <c r="K16" s="89" t="s">
        <v>284</v>
      </c>
    </row>
    <row r="17" spans="2:11" ht="15" customHeight="1">
      <c r="B17" s="200" t="s">
        <v>339</v>
      </c>
      <c r="C17" s="49">
        <v>535</v>
      </c>
      <c r="D17" s="49">
        <v>534</v>
      </c>
      <c r="E17" s="89" t="s">
        <v>284</v>
      </c>
      <c r="F17" s="89">
        <v>1</v>
      </c>
      <c r="G17" s="89" t="s">
        <v>284</v>
      </c>
      <c r="H17" s="89" t="s">
        <v>284</v>
      </c>
      <c r="I17" s="89" t="s">
        <v>284</v>
      </c>
      <c r="J17" s="89" t="s">
        <v>284</v>
      </c>
      <c r="K17" s="89" t="s">
        <v>284</v>
      </c>
    </row>
    <row r="18" spans="2:11" ht="15" customHeight="1">
      <c r="B18" s="200" t="s">
        <v>340</v>
      </c>
      <c r="C18" s="49">
        <v>1159</v>
      </c>
      <c r="D18" s="49">
        <v>1137</v>
      </c>
      <c r="E18" s="89">
        <v>15</v>
      </c>
      <c r="F18" s="89">
        <v>3</v>
      </c>
      <c r="G18" s="89">
        <v>4</v>
      </c>
      <c r="H18" s="89" t="s">
        <v>284</v>
      </c>
      <c r="I18" s="89" t="s">
        <v>284</v>
      </c>
      <c r="J18" s="89">
        <v>2</v>
      </c>
      <c r="K18" s="89">
        <v>22</v>
      </c>
    </row>
    <row r="19" spans="2:11" ht="15" customHeight="1">
      <c r="B19" s="200" t="s">
        <v>341</v>
      </c>
      <c r="C19" s="49">
        <v>217</v>
      </c>
      <c r="D19" s="49">
        <v>213</v>
      </c>
      <c r="E19" s="89" t="s">
        <v>284</v>
      </c>
      <c r="F19" s="89">
        <v>4</v>
      </c>
      <c r="G19" s="89" t="s">
        <v>284</v>
      </c>
      <c r="H19" s="89" t="s">
        <v>284</v>
      </c>
      <c r="I19" s="89" t="s">
        <v>284</v>
      </c>
      <c r="J19" s="89" t="s">
        <v>284</v>
      </c>
      <c r="K19" s="89">
        <v>4</v>
      </c>
    </row>
    <row r="20" spans="2:11" ht="12.75" customHeight="1">
      <c r="B20" s="200"/>
      <c r="C20" s="49"/>
      <c r="D20" s="49"/>
      <c r="E20" s="89"/>
      <c r="F20" s="89"/>
      <c r="G20" s="89"/>
      <c r="H20" s="89"/>
      <c r="I20" s="89"/>
      <c r="J20" s="89"/>
      <c r="K20" s="89"/>
    </row>
    <row r="21" spans="2:11" ht="15" customHeight="1">
      <c r="B21" s="200" t="s">
        <v>342</v>
      </c>
      <c r="C21" s="49">
        <v>1641</v>
      </c>
      <c r="D21" s="49">
        <v>1415</v>
      </c>
      <c r="E21" s="89">
        <v>205</v>
      </c>
      <c r="F21" s="89">
        <v>10</v>
      </c>
      <c r="G21" s="89">
        <v>5</v>
      </c>
      <c r="H21" s="89">
        <v>3</v>
      </c>
      <c r="I21" s="89">
        <v>3</v>
      </c>
      <c r="J21" s="89" t="s">
        <v>284</v>
      </c>
      <c r="K21" s="89">
        <v>18</v>
      </c>
    </row>
    <row r="22" spans="2:11" ht="15" customHeight="1">
      <c r="B22" s="200" t="s">
        <v>343</v>
      </c>
      <c r="C22" s="49">
        <v>459</v>
      </c>
      <c r="D22" s="49">
        <v>455</v>
      </c>
      <c r="E22" s="89">
        <v>3</v>
      </c>
      <c r="F22" s="89">
        <v>1</v>
      </c>
      <c r="G22" s="89" t="s">
        <v>284</v>
      </c>
      <c r="H22" s="89" t="s">
        <v>284</v>
      </c>
      <c r="I22" s="89" t="s">
        <v>284</v>
      </c>
      <c r="J22" s="89">
        <v>1</v>
      </c>
      <c r="K22" s="89">
        <v>4</v>
      </c>
    </row>
    <row r="23" spans="2:11" ht="15" customHeight="1">
      <c r="B23" s="200" t="s">
        <v>344</v>
      </c>
      <c r="C23" s="49">
        <v>1422</v>
      </c>
      <c r="D23" s="49">
        <v>1259</v>
      </c>
      <c r="E23" s="89">
        <v>140</v>
      </c>
      <c r="F23" s="89">
        <v>12</v>
      </c>
      <c r="G23" s="89">
        <v>7</v>
      </c>
      <c r="H23" s="89">
        <v>3</v>
      </c>
      <c r="I23" s="89">
        <v>1</v>
      </c>
      <c r="J23" s="89">
        <v>1</v>
      </c>
      <c r="K23" s="89">
        <v>15</v>
      </c>
    </row>
    <row r="24" spans="2:11" ht="15" customHeight="1">
      <c r="B24" s="200" t="s">
        <v>345</v>
      </c>
      <c r="C24" s="49">
        <v>534</v>
      </c>
      <c r="D24" s="49">
        <v>493</v>
      </c>
      <c r="E24" s="89">
        <v>36</v>
      </c>
      <c r="F24" s="89">
        <v>4</v>
      </c>
      <c r="G24" s="89">
        <v>1</v>
      </c>
      <c r="H24" s="89" t="s">
        <v>284</v>
      </c>
      <c r="I24" s="89" t="s">
        <v>284</v>
      </c>
      <c r="J24" s="89" t="s">
        <v>284</v>
      </c>
      <c r="K24" s="89">
        <v>3</v>
      </c>
    </row>
    <row r="25" spans="2:11" ht="15" customHeight="1">
      <c r="B25" s="200" t="s">
        <v>346</v>
      </c>
      <c r="C25" s="49">
        <v>290</v>
      </c>
      <c r="D25" s="49">
        <v>286</v>
      </c>
      <c r="E25" s="89" t="s">
        <v>284</v>
      </c>
      <c r="F25" s="89">
        <v>4</v>
      </c>
      <c r="G25" s="89" t="s">
        <v>284</v>
      </c>
      <c r="H25" s="89" t="s">
        <v>284</v>
      </c>
      <c r="I25" s="89" t="s">
        <v>284</v>
      </c>
      <c r="J25" s="89">
        <v>1</v>
      </c>
      <c r="K25" s="89" t="s">
        <v>284</v>
      </c>
    </row>
    <row r="26" spans="2:11" ht="12.75" customHeight="1">
      <c r="B26" s="200"/>
      <c r="C26" s="49"/>
      <c r="D26" s="49"/>
      <c r="E26" s="89"/>
      <c r="F26" s="89"/>
      <c r="G26" s="89"/>
      <c r="H26" s="89"/>
      <c r="I26" s="89"/>
      <c r="J26" s="89"/>
      <c r="K26" s="89"/>
    </row>
    <row r="27" spans="2:11" ht="15" customHeight="1">
      <c r="B27" s="200" t="s">
        <v>347</v>
      </c>
      <c r="C27" s="49">
        <v>285</v>
      </c>
      <c r="D27" s="49">
        <v>277</v>
      </c>
      <c r="E27" s="89" t="s">
        <v>284</v>
      </c>
      <c r="F27" s="89">
        <v>8</v>
      </c>
      <c r="G27" s="89" t="s">
        <v>284</v>
      </c>
      <c r="H27" s="89" t="s">
        <v>284</v>
      </c>
      <c r="I27" s="89" t="s">
        <v>284</v>
      </c>
      <c r="J27" s="89">
        <v>1</v>
      </c>
      <c r="K27" s="89" t="s">
        <v>284</v>
      </c>
    </row>
    <row r="28" spans="2:11" ht="15" customHeight="1">
      <c r="B28" s="200" t="s">
        <v>348</v>
      </c>
      <c r="C28" s="49">
        <v>348</v>
      </c>
      <c r="D28" s="49">
        <v>301</v>
      </c>
      <c r="E28" s="89">
        <v>1</v>
      </c>
      <c r="F28" s="89">
        <v>44</v>
      </c>
      <c r="G28" s="89">
        <v>1</v>
      </c>
      <c r="H28" s="89">
        <v>1</v>
      </c>
      <c r="I28" s="89" t="s">
        <v>284</v>
      </c>
      <c r="J28" s="89" t="s">
        <v>284</v>
      </c>
      <c r="K28" s="89" t="s">
        <v>284</v>
      </c>
    </row>
    <row r="29" spans="2:11" ht="15" customHeight="1">
      <c r="B29" s="200" t="s">
        <v>349</v>
      </c>
      <c r="C29" s="49">
        <v>373</v>
      </c>
      <c r="D29" s="49">
        <v>369</v>
      </c>
      <c r="E29" s="89">
        <v>1</v>
      </c>
      <c r="F29" s="89">
        <v>2</v>
      </c>
      <c r="G29" s="89" t="s">
        <v>284</v>
      </c>
      <c r="H29" s="89" t="s">
        <v>284</v>
      </c>
      <c r="I29" s="89">
        <v>1</v>
      </c>
      <c r="J29" s="89" t="s">
        <v>284</v>
      </c>
      <c r="K29" s="89" t="s">
        <v>284</v>
      </c>
    </row>
    <row r="30" spans="2:11" ht="15" customHeight="1">
      <c r="B30" s="200" t="s">
        <v>350</v>
      </c>
      <c r="C30" s="49">
        <v>624</v>
      </c>
      <c r="D30" s="49">
        <v>607</v>
      </c>
      <c r="E30" s="89">
        <v>9</v>
      </c>
      <c r="F30" s="89">
        <v>3</v>
      </c>
      <c r="G30" s="89">
        <v>2</v>
      </c>
      <c r="H30" s="89">
        <v>3</v>
      </c>
      <c r="I30" s="89" t="s">
        <v>284</v>
      </c>
      <c r="J30" s="89">
        <v>3</v>
      </c>
      <c r="K30" s="89">
        <v>8</v>
      </c>
    </row>
    <row r="31" spans="2:11" ht="15" customHeight="1">
      <c r="B31" s="200" t="s">
        <v>351</v>
      </c>
      <c r="C31" s="49">
        <v>170</v>
      </c>
      <c r="D31" s="49">
        <v>168</v>
      </c>
      <c r="E31" s="89">
        <v>1</v>
      </c>
      <c r="F31" s="89" t="s">
        <v>284</v>
      </c>
      <c r="G31" s="89">
        <v>1</v>
      </c>
      <c r="H31" s="89" t="s">
        <v>284</v>
      </c>
      <c r="I31" s="89" t="s">
        <v>284</v>
      </c>
      <c r="J31" s="89" t="s">
        <v>284</v>
      </c>
      <c r="K31" s="89">
        <v>1</v>
      </c>
    </row>
    <row r="32" spans="2:11" ht="12.75" customHeight="1">
      <c r="B32" s="200"/>
      <c r="C32" s="49"/>
      <c r="D32" s="49"/>
      <c r="E32" s="89"/>
      <c r="F32" s="89"/>
      <c r="G32" s="89"/>
      <c r="H32" s="89"/>
      <c r="I32" s="89"/>
      <c r="J32" s="89"/>
      <c r="K32" s="89"/>
    </row>
    <row r="33" spans="2:11" ht="15" customHeight="1">
      <c r="B33" s="200" t="s">
        <v>352</v>
      </c>
      <c r="C33" s="49">
        <v>438</v>
      </c>
      <c r="D33" s="49">
        <v>431</v>
      </c>
      <c r="E33" s="89" t="s">
        <v>284</v>
      </c>
      <c r="F33" s="89">
        <v>4</v>
      </c>
      <c r="G33" s="89">
        <v>2</v>
      </c>
      <c r="H33" s="89">
        <v>1</v>
      </c>
      <c r="I33" s="89" t="s">
        <v>284</v>
      </c>
      <c r="J33" s="89" t="s">
        <v>284</v>
      </c>
      <c r="K33" s="89">
        <v>2</v>
      </c>
    </row>
    <row r="34" spans="2:11" ht="15" customHeight="1">
      <c r="B34" s="200" t="s">
        <v>353</v>
      </c>
      <c r="C34" s="49">
        <v>304</v>
      </c>
      <c r="D34" s="49">
        <v>301</v>
      </c>
      <c r="E34" s="89">
        <v>1</v>
      </c>
      <c r="F34" s="89">
        <v>1</v>
      </c>
      <c r="G34" s="89">
        <v>1</v>
      </c>
      <c r="H34" s="89" t="s">
        <v>284</v>
      </c>
      <c r="I34" s="89" t="s">
        <v>284</v>
      </c>
      <c r="J34" s="89">
        <v>1</v>
      </c>
      <c r="K34" s="89" t="s">
        <v>284</v>
      </c>
    </row>
    <row r="35" spans="2:11" ht="15" customHeight="1">
      <c r="B35" s="200" t="s">
        <v>354</v>
      </c>
      <c r="C35" s="49">
        <v>1018</v>
      </c>
      <c r="D35" s="49">
        <v>950</v>
      </c>
      <c r="E35" s="89">
        <v>54</v>
      </c>
      <c r="F35" s="89">
        <v>7</v>
      </c>
      <c r="G35" s="89">
        <v>5</v>
      </c>
      <c r="H35" s="89">
        <v>2</v>
      </c>
      <c r="I35" s="89" t="s">
        <v>284</v>
      </c>
      <c r="J35" s="89">
        <v>3</v>
      </c>
      <c r="K35" s="89">
        <v>21</v>
      </c>
    </row>
    <row r="36" spans="2:11" ht="15" customHeight="1">
      <c r="B36" s="200" t="s">
        <v>355</v>
      </c>
      <c r="C36" s="49">
        <v>357</v>
      </c>
      <c r="D36" s="49">
        <v>346</v>
      </c>
      <c r="E36" s="89" t="s">
        <v>284</v>
      </c>
      <c r="F36" s="89">
        <v>11</v>
      </c>
      <c r="G36" s="89" t="s">
        <v>284</v>
      </c>
      <c r="H36" s="89" t="s">
        <v>284</v>
      </c>
      <c r="I36" s="89" t="s">
        <v>284</v>
      </c>
      <c r="J36" s="89">
        <v>1</v>
      </c>
      <c r="K36" s="89" t="s">
        <v>284</v>
      </c>
    </row>
    <row r="37" spans="2:11" ht="15" customHeight="1">
      <c r="B37" s="200" t="s">
        <v>356</v>
      </c>
      <c r="C37" s="49">
        <v>4328</v>
      </c>
      <c r="D37" s="49">
        <v>3467</v>
      </c>
      <c r="E37" s="89">
        <v>824</v>
      </c>
      <c r="F37" s="89">
        <v>12</v>
      </c>
      <c r="G37" s="89">
        <v>16</v>
      </c>
      <c r="H37" s="89">
        <v>9</v>
      </c>
      <c r="I37" s="89" t="s">
        <v>284</v>
      </c>
      <c r="J37" s="89">
        <v>34</v>
      </c>
      <c r="K37" s="89">
        <v>63</v>
      </c>
    </row>
    <row r="38" spans="2:11" ht="12.75" customHeight="1">
      <c r="B38" s="200"/>
      <c r="C38" s="49"/>
      <c r="D38" s="49"/>
      <c r="E38" s="89"/>
      <c r="F38" s="89"/>
      <c r="G38" s="89"/>
      <c r="H38" s="89"/>
      <c r="I38" s="89"/>
      <c r="J38" s="89"/>
      <c r="K38" s="89"/>
    </row>
    <row r="39" spans="2:11" ht="15" customHeight="1">
      <c r="B39" s="200" t="s">
        <v>357</v>
      </c>
      <c r="C39" s="49">
        <v>354</v>
      </c>
      <c r="D39" s="49">
        <v>352</v>
      </c>
      <c r="E39" s="89" t="s">
        <v>284</v>
      </c>
      <c r="F39" s="89">
        <v>2</v>
      </c>
      <c r="G39" s="89" t="s">
        <v>284</v>
      </c>
      <c r="H39" s="89" t="s">
        <v>284</v>
      </c>
      <c r="I39" s="89" t="s">
        <v>284</v>
      </c>
      <c r="J39" s="89" t="s">
        <v>284</v>
      </c>
      <c r="K39" s="89">
        <v>3</v>
      </c>
    </row>
    <row r="40" spans="2:11" ht="15" customHeight="1">
      <c r="B40" s="200" t="s">
        <v>358</v>
      </c>
      <c r="C40" s="49">
        <v>205</v>
      </c>
      <c r="D40" s="49">
        <v>201</v>
      </c>
      <c r="E40" s="89">
        <v>1</v>
      </c>
      <c r="F40" s="89">
        <v>3</v>
      </c>
      <c r="G40" s="89" t="s">
        <v>284</v>
      </c>
      <c r="H40" s="89" t="s">
        <v>284</v>
      </c>
      <c r="I40" s="89" t="s">
        <v>284</v>
      </c>
      <c r="J40" s="89">
        <v>1</v>
      </c>
      <c r="K40" s="89" t="s">
        <v>284</v>
      </c>
    </row>
    <row r="41" spans="2:11" ht="15" customHeight="1">
      <c r="B41" s="200" t="s">
        <v>359</v>
      </c>
      <c r="C41" s="49">
        <v>816</v>
      </c>
      <c r="D41" s="49">
        <v>798</v>
      </c>
      <c r="E41" s="89">
        <v>3</v>
      </c>
      <c r="F41" s="89">
        <v>13</v>
      </c>
      <c r="G41" s="89">
        <v>2</v>
      </c>
      <c r="H41" s="89" t="s">
        <v>284</v>
      </c>
      <c r="I41" s="89" t="s">
        <v>284</v>
      </c>
      <c r="J41" s="89">
        <v>1</v>
      </c>
      <c r="K41" s="89">
        <v>4</v>
      </c>
    </row>
    <row r="42" spans="2:11" ht="15" customHeight="1">
      <c r="B42" s="200" t="s">
        <v>360</v>
      </c>
      <c r="C42" s="49">
        <v>433</v>
      </c>
      <c r="D42" s="49">
        <v>430</v>
      </c>
      <c r="E42" s="89">
        <v>1</v>
      </c>
      <c r="F42" s="89" t="s">
        <v>284</v>
      </c>
      <c r="G42" s="89">
        <v>2</v>
      </c>
      <c r="H42" s="89" t="s">
        <v>284</v>
      </c>
      <c r="I42" s="89" t="s">
        <v>284</v>
      </c>
      <c r="J42" s="89" t="s">
        <v>284</v>
      </c>
      <c r="K42" s="89">
        <v>10</v>
      </c>
    </row>
    <row r="43" spans="2:11" ht="15" customHeight="1">
      <c r="B43" s="200" t="s">
        <v>361</v>
      </c>
      <c r="C43" s="49">
        <v>457</v>
      </c>
      <c r="D43" s="49">
        <v>452</v>
      </c>
      <c r="E43" s="89">
        <v>1</v>
      </c>
      <c r="F43" s="89">
        <v>4</v>
      </c>
      <c r="G43" s="89" t="s">
        <v>284</v>
      </c>
      <c r="H43" s="89" t="s">
        <v>284</v>
      </c>
      <c r="I43" s="89" t="s">
        <v>284</v>
      </c>
      <c r="J43" s="89" t="s">
        <v>284</v>
      </c>
      <c r="K43" s="89">
        <v>2</v>
      </c>
    </row>
    <row r="44" spans="2:11" ht="12.75" customHeight="1">
      <c r="B44" s="200"/>
      <c r="C44" s="49"/>
      <c r="D44" s="49"/>
      <c r="E44" s="89"/>
      <c r="F44" s="89"/>
      <c r="G44" s="89"/>
      <c r="H44" s="89"/>
      <c r="I44" s="89"/>
      <c r="J44" s="89"/>
      <c r="K44" s="89"/>
    </row>
    <row r="45" spans="2:11" ht="15" customHeight="1">
      <c r="B45" s="200" t="s">
        <v>362</v>
      </c>
      <c r="C45" s="49">
        <v>361</v>
      </c>
      <c r="D45" s="49">
        <v>360</v>
      </c>
      <c r="E45" s="89" t="s">
        <v>284</v>
      </c>
      <c r="F45" s="89" t="s">
        <v>284</v>
      </c>
      <c r="G45" s="89" t="s">
        <v>284</v>
      </c>
      <c r="H45" s="89">
        <v>1</v>
      </c>
      <c r="I45" s="89" t="s">
        <v>284</v>
      </c>
      <c r="J45" s="89">
        <v>1</v>
      </c>
      <c r="K45" s="89">
        <v>3</v>
      </c>
    </row>
    <row r="46" spans="2:11" ht="15" customHeight="1">
      <c r="B46" s="200" t="s">
        <v>363</v>
      </c>
      <c r="C46" s="49">
        <v>418</v>
      </c>
      <c r="D46" s="49">
        <v>416</v>
      </c>
      <c r="E46" s="89">
        <v>1</v>
      </c>
      <c r="F46" s="89" t="s">
        <v>284</v>
      </c>
      <c r="G46" s="89" t="s">
        <v>284</v>
      </c>
      <c r="H46" s="89">
        <v>1</v>
      </c>
      <c r="I46" s="89" t="s">
        <v>284</v>
      </c>
      <c r="J46" s="89">
        <v>1</v>
      </c>
      <c r="K46" s="89">
        <v>5</v>
      </c>
    </row>
    <row r="47" spans="2:11" ht="15" customHeight="1">
      <c r="B47" s="200" t="s">
        <v>364</v>
      </c>
      <c r="C47" s="49">
        <v>2133</v>
      </c>
      <c r="D47" s="49">
        <v>1819</v>
      </c>
      <c r="E47" s="89">
        <v>245</v>
      </c>
      <c r="F47" s="89">
        <v>20</v>
      </c>
      <c r="G47" s="89">
        <v>35</v>
      </c>
      <c r="H47" s="89">
        <v>13</v>
      </c>
      <c r="I47" s="89">
        <v>1</v>
      </c>
      <c r="J47" s="89">
        <v>18</v>
      </c>
      <c r="K47" s="89">
        <v>77</v>
      </c>
    </row>
    <row r="48" spans="2:11" ht="15" customHeight="1">
      <c r="B48" s="200" t="s">
        <v>365</v>
      </c>
      <c r="C48" s="49">
        <v>520</v>
      </c>
      <c r="D48" s="49">
        <v>511</v>
      </c>
      <c r="E48" s="89">
        <v>4</v>
      </c>
      <c r="F48" s="89">
        <v>3</v>
      </c>
      <c r="G48" s="89" t="s">
        <v>284</v>
      </c>
      <c r="H48" s="89">
        <v>2</v>
      </c>
      <c r="I48" s="89" t="s">
        <v>284</v>
      </c>
      <c r="J48" s="89" t="s">
        <v>284</v>
      </c>
      <c r="K48" s="89">
        <v>11</v>
      </c>
    </row>
    <row r="49" spans="2:11" ht="15" customHeight="1">
      <c r="B49" s="200" t="s">
        <v>366</v>
      </c>
      <c r="C49" s="49">
        <v>454</v>
      </c>
      <c r="D49" s="49">
        <v>449</v>
      </c>
      <c r="E49" s="89" t="s">
        <v>284</v>
      </c>
      <c r="F49" s="89">
        <v>4</v>
      </c>
      <c r="G49" s="89">
        <v>1</v>
      </c>
      <c r="H49" s="89" t="s">
        <v>284</v>
      </c>
      <c r="I49" s="89" t="s">
        <v>284</v>
      </c>
      <c r="J49" s="89">
        <v>3</v>
      </c>
      <c r="K49" s="89">
        <v>1</v>
      </c>
    </row>
    <row r="50" spans="2:11" ht="12.75" customHeight="1">
      <c r="B50" s="200"/>
      <c r="C50" s="49"/>
      <c r="D50" s="49"/>
      <c r="E50" s="89"/>
      <c r="F50" s="89"/>
      <c r="G50" s="89"/>
      <c r="H50" s="89"/>
      <c r="I50" s="89"/>
      <c r="J50" s="89"/>
      <c r="K50" s="89"/>
    </row>
    <row r="51" spans="2:11" ht="15" customHeight="1">
      <c r="B51" s="200" t="s">
        <v>367</v>
      </c>
      <c r="C51" s="49">
        <v>189</v>
      </c>
      <c r="D51" s="49">
        <v>188</v>
      </c>
      <c r="E51" s="89" t="s">
        <v>284</v>
      </c>
      <c r="F51" s="89" t="s">
        <v>284</v>
      </c>
      <c r="G51" s="89" t="s">
        <v>284</v>
      </c>
      <c r="H51" s="89">
        <v>1</v>
      </c>
      <c r="I51" s="89" t="s">
        <v>284</v>
      </c>
      <c r="J51" s="89" t="s">
        <v>284</v>
      </c>
      <c r="K51" s="89">
        <v>1</v>
      </c>
    </row>
    <row r="52" spans="2:11" ht="15" customHeight="1">
      <c r="B52" s="200" t="s">
        <v>368</v>
      </c>
      <c r="C52" s="49">
        <v>434</v>
      </c>
      <c r="D52" s="49">
        <v>411</v>
      </c>
      <c r="E52" s="89">
        <v>4</v>
      </c>
      <c r="F52" s="89">
        <v>18</v>
      </c>
      <c r="G52" s="89">
        <v>1</v>
      </c>
      <c r="H52" s="89" t="s">
        <v>284</v>
      </c>
      <c r="I52" s="89" t="s">
        <v>284</v>
      </c>
      <c r="J52" s="89">
        <v>2</v>
      </c>
      <c r="K52" s="89">
        <v>6</v>
      </c>
    </row>
    <row r="53" spans="2:11" ht="15" customHeight="1">
      <c r="B53" s="200" t="s">
        <v>369</v>
      </c>
      <c r="C53" s="49">
        <v>1664</v>
      </c>
      <c r="D53" s="49">
        <v>1551</v>
      </c>
      <c r="E53" s="89">
        <v>102</v>
      </c>
      <c r="F53" s="89">
        <v>4</v>
      </c>
      <c r="G53" s="89">
        <v>3</v>
      </c>
      <c r="H53" s="89">
        <v>4</v>
      </c>
      <c r="I53" s="89" t="s">
        <v>284</v>
      </c>
      <c r="J53" s="89">
        <v>1</v>
      </c>
      <c r="K53" s="89">
        <v>17</v>
      </c>
    </row>
    <row r="54" spans="2:11" ht="15" customHeight="1">
      <c r="B54" s="200" t="s">
        <v>370</v>
      </c>
      <c r="C54" s="49">
        <v>2069</v>
      </c>
      <c r="D54" s="49">
        <v>1841</v>
      </c>
      <c r="E54" s="89">
        <v>202</v>
      </c>
      <c r="F54" s="89">
        <v>11</v>
      </c>
      <c r="G54" s="89">
        <v>13</v>
      </c>
      <c r="H54" s="89">
        <v>1</v>
      </c>
      <c r="I54" s="89">
        <v>1</v>
      </c>
      <c r="J54" s="89">
        <v>6</v>
      </c>
      <c r="K54" s="89">
        <v>27</v>
      </c>
    </row>
    <row r="55" spans="2:11" ht="15" customHeight="1">
      <c r="B55" s="200" t="s">
        <v>371</v>
      </c>
      <c r="C55" s="49">
        <v>193</v>
      </c>
      <c r="D55" s="49">
        <v>192</v>
      </c>
      <c r="E55" s="89" t="s">
        <v>284</v>
      </c>
      <c r="F55" s="89">
        <v>1</v>
      </c>
      <c r="G55" s="89" t="s">
        <v>284</v>
      </c>
      <c r="H55" s="89" t="s">
        <v>284</v>
      </c>
      <c r="I55" s="89" t="s">
        <v>284</v>
      </c>
      <c r="J55" s="89">
        <v>1</v>
      </c>
      <c r="K55" s="89" t="s">
        <v>284</v>
      </c>
    </row>
    <row r="56" spans="2:11">
      <c r="B56" s="11"/>
      <c r="C56" s="11"/>
      <c r="D56" s="11"/>
      <c r="E56" s="89"/>
      <c r="F56" s="89"/>
      <c r="G56" s="89"/>
      <c r="H56" s="89"/>
      <c r="I56" s="89"/>
      <c r="J56" s="89"/>
      <c r="K56" s="89"/>
    </row>
    <row r="57" spans="2:11">
      <c r="B57" s="200" t="s">
        <v>372</v>
      </c>
      <c r="C57" s="89">
        <v>4460</v>
      </c>
      <c r="D57" s="89">
        <v>4018</v>
      </c>
      <c r="E57" s="89">
        <v>384</v>
      </c>
      <c r="F57" s="89">
        <v>20</v>
      </c>
      <c r="G57" s="89">
        <v>33</v>
      </c>
      <c r="H57" s="89">
        <v>3</v>
      </c>
      <c r="I57" s="89">
        <v>2</v>
      </c>
      <c r="J57" s="89">
        <v>20</v>
      </c>
      <c r="K57" s="89">
        <v>112</v>
      </c>
    </row>
    <row r="58" spans="2:11">
      <c r="B58" s="200" t="s">
        <v>373</v>
      </c>
      <c r="C58" s="89">
        <v>22</v>
      </c>
      <c r="D58" s="89">
        <v>22</v>
      </c>
      <c r="E58" s="89" t="s">
        <v>284</v>
      </c>
      <c r="F58" s="89" t="s">
        <v>284</v>
      </c>
      <c r="G58" s="89" t="s">
        <v>284</v>
      </c>
      <c r="H58" s="89" t="s">
        <v>284</v>
      </c>
      <c r="I58" s="89" t="s">
        <v>284</v>
      </c>
      <c r="J58" s="89" t="s">
        <v>284</v>
      </c>
      <c r="K58" s="89" t="s">
        <v>284</v>
      </c>
    </row>
    <row r="59" spans="2:11">
      <c r="B59" s="200" t="s">
        <v>374</v>
      </c>
      <c r="C59" s="89">
        <v>159</v>
      </c>
      <c r="D59" s="89">
        <v>145</v>
      </c>
      <c r="E59" s="89">
        <v>14</v>
      </c>
      <c r="F59" s="89" t="s">
        <v>284</v>
      </c>
      <c r="G59" s="89" t="s">
        <v>284</v>
      </c>
      <c r="H59" s="89" t="s">
        <v>284</v>
      </c>
      <c r="I59" s="89" t="s">
        <v>284</v>
      </c>
      <c r="J59" s="89" t="s">
        <v>284</v>
      </c>
      <c r="K59" s="89" t="s">
        <v>284</v>
      </c>
    </row>
    <row r="60" spans="2:11">
      <c r="B60" s="200" t="s">
        <v>375</v>
      </c>
      <c r="C60" s="89">
        <v>767</v>
      </c>
      <c r="D60" s="89">
        <v>757</v>
      </c>
      <c r="E60" s="89">
        <v>4</v>
      </c>
      <c r="F60" s="89">
        <v>2</v>
      </c>
      <c r="G60" s="89">
        <v>1</v>
      </c>
      <c r="H60" s="89">
        <v>2</v>
      </c>
      <c r="I60" s="89">
        <v>1</v>
      </c>
      <c r="J60" s="89">
        <v>2</v>
      </c>
      <c r="K60" s="89">
        <v>12</v>
      </c>
    </row>
    <row r="61" spans="2:11">
      <c r="B61" s="200" t="s">
        <v>376</v>
      </c>
      <c r="C61" s="89">
        <v>276</v>
      </c>
      <c r="D61" s="89">
        <v>269</v>
      </c>
      <c r="E61" s="89" t="s">
        <v>284</v>
      </c>
      <c r="F61" s="89">
        <v>6</v>
      </c>
      <c r="G61" s="89">
        <v>1</v>
      </c>
      <c r="H61" s="89" t="s">
        <v>284</v>
      </c>
      <c r="I61" s="89" t="s">
        <v>284</v>
      </c>
      <c r="J61" s="89" t="s">
        <v>284</v>
      </c>
      <c r="K61" s="89">
        <v>2</v>
      </c>
    </row>
    <row r="62" spans="2:11">
      <c r="B62" s="200"/>
      <c r="C62" s="89"/>
      <c r="D62" s="89"/>
      <c r="E62" s="89"/>
      <c r="F62" s="89"/>
      <c r="G62" s="89"/>
      <c r="H62" s="89"/>
      <c r="I62" s="89"/>
      <c r="J62" s="89"/>
      <c r="K62" s="89"/>
    </row>
    <row r="63" spans="2:11">
      <c r="B63" s="200" t="s">
        <v>377</v>
      </c>
      <c r="C63" s="89">
        <v>1004</v>
      </c>
      <c r="D63" s="89">
        <v>979</v>
      </c>
      <c r="E63" s="89">
        <v>13</v>
      </c>
      <c r="F63" s="89">
        <v>1</v>
      </c>
      <c r="G63" s="89">
        <v>6</v>
      </c>
      <c r="H63" s="89">
        <v>5</v>
      </c>
      <c r="I63" s="89" t="s">
        <v>284</v>
      </c>
      <c r="J63" s="89">
        <v>1</v>
      </c>
      <c r="K63" s="89">
        <v>37</v>
      </c>
    </row>
    <row r="64" spans="2:11">
      <c r="B64" s="200" t="s">
        <v>378</v>
      </c>
      <c r="C64" s="89">
        <v>1340</v>
      </c>
      <c r="D64" s="89">
        <v>1320</v>
      </c>
      <c r="E64" s="89">
        <v>7</v>
      </c>
      <c r="F64" s="89">
        <v>7</v>
      </c>
      <c r="G64" s="89">
        <v>5</v>
      </c>
      <c r="H64" s="89">
        <v>1</v>
      </c>
      <c r="I64" s="89" t="s">
        <v>284</v>
      </c>
      <c r="J64" s="89">
        <v>7</v>
      </c>
      <c r="K64" s="89">
        <v>13</v>
      </c>
    </row>
    <row r="65" spans="2:11">
      <c r="B65" s="200" t="s">
        <v>379</v>
      </c>
      <c r="C65" s="89">
        <v>61</v>
      </c>
      <c r="D65" s="89">
        <v>56</v>
      </c>
      <c r="E65" s="89" t="s">
        <v>284</v>
      </c>
      <c r="F65" s="89">
        <v>5</v>
      </c>
      <c r="G65" s="89" t="s">
        <v>284</v>
      </c>
      <c r="H65" s="89" t="s">
        <v>284</v>
      </c>
      <c r="I65" s="89" t="s">
        <v>284</v>
      </c>
      <c r="J65" s="89" t="s">
        <v>284</v>
      </c>
      <c r="K65" s="89" t="s">
        <v>284</v>
      </c>
    </row>
    <row r="66" spans="2:11">
      <c r="B66" s="200" t="s">
        <v>380</v>
      </c>
      <c r="C66" s="89">
        <v>148</v>
      </c>
      <c r="D66" s="89">
        <v>118</v>
      </c>
      <c r="E66" s="89" t="s">
        <v>284</v>
      </c>
      <c r="F66" s="89">
        <v>30</v>
      </c>
      <c r="G66" s="89" t="s">
        <v>284</v>
      </c>
      <c r="H66" s="89" t="s">
        <v>284</v>
      </c>
      <c r="I66" s="89" t="s">
        <v>284</v>
      </c>
      <c r="J66" s="89" t="s">
        <v>284</v>
      </c>
      <c r="K66" s="89" t="s">
        <v>284</v>
      </c>
    </row>
    <row r="67" spans="2:11">
      <c r="B67" s="200" t="s">
        <v>381</v>
      </c>
      <c r="C67" s="89">
        <v>8499</v>
      </c>
      <c r="D67" s="89">
        <v>7852</v>
      </c>
      <c r="E67" s="89">
        <v>507</v>
      </c>
      <c r="F67" s="89">
        <v>22</v>
      </c>
      <c r="G67" s="89">
        <v>84</v>
      </c>
      <c r="H67" s="89">
        <v>30</v>
      </c>
      <c r="I67" s="89">
        <v>4</v>
      </c>
      <c r="J67" s="89">
        <v>248</v>
      </c>
      <c r="K67" s="89">
        <v>69</v>
      </c>
    </row>
    <row r="68" spans="2:11">
      <c r="B68" s="200"/>
      <c r="C68" s="89"/>
      <c r="D68" s="89"/>
      <c r="E68" s="89"/>
      <c r="F68" s="89"/>
      <c r="G68" s="89"/>
      <c r="H68" s="89"/>
      <c r="I68" s="89"/>
      <c r="J68" s="89"/>
      <c r="K68" s="89"/>
    </row>
    <row r="69" spans="2:11">
      <c r="B69" s="200" t="s">
        <v>382</v>
      </c>
      <c r="C69" s="89">
        <v>317</v>
      </c>
      <c r="D69" s="89">
        <v>312</v>
      </c>
      <c r="E69" s="89" t="s">
        <v>284</v>
      </c>
      <c r="F69" s="89">
        <v>5</v>
      </c>
      <c r="G69" s="89" t="s">
        <v>284</v>
      </c>
      <c r="H69" s="89" t="s">
        <v>284</v>
      </c>
      <c r="I69" s="89" t="s">
        <v>284</v>
      </c>
      <c r="J69" s="89" t="s">
        <v>284</v>
      </c>
      <c r="K69" s="89">
        <v>1</v>
      </c>
    </row>
    <row r="70" spans="2:11">
      <c r="B70" s="200" t="s">
        <v>383</v>
      </c>
      <c r="C70" s="89">
        <v>644</v>
      </c>
      <c r="D70" s="89">
        <v>626</v>
      </c>
      <c r="E70" s="89">
        <v>9</v>
      </c>
      <c r="F70" s="89">
        <v>6</v>
      </c>
      <c r="G70" s="89">
        <v>2</v>
      </c>
      <c r="H70" s="89">
        <v>1</v>
      </c>
      <c r="I70" s="89" t="s">
        <v>284</v>
      </c>
      <c r="J70" s="89">
        <v>1</v>
      </c>
      <c r="K70" s="89">
        <v>1</v>
      </c>
    </row>
    <row r="71" spans="2:11">
      <c r="B71" s="200" t="s">
        <v>384</v>
      </c>
      <c r="C71" s="89">
        <v>349</v>
      </c>
      <c r="D71" s="89">
        <v>344</v>
      </c>
      <c r="E71" s="89">
        <v>3</v>
      </c>
      <c r="F71" s="89">
        <v>1</v>
      </c>
      <c r="G71" s="89" t="s">
        <v>284</v>
      </c>
      <c r="H71" s="89">
        <v>1</v>
      </c>
      <c r="I71" s="89" t="s">
        <v>284</v>
      </c>
      <c r="J71" s="89">
        <v>1</v>
      </c>
      <c r="K71" s="89">
        <v>4</v>
      </c>
    </row>
    <row r="72" spans="2:11">
      <c r="B72" s="200" t="s">
        <v>385</v>
      </c>
      <c r="C72" s="89">
        <v>405</v>
      </c>
      <c r="D72" s="89">
        <v>393</v>
      </c>
      <c r="E72" s="89">
        <v>8</v>
      </c>
      <c r="F72" s="89">
        <v>4</v>
      </c>
      <c r="G72" s="89" t="s">
        <v>284</v>
      </c>
      <c r="H72" s="89" t="s">
        <v>284</v>
      </c>
      <c r="I72" s="89" t="s">
        <v>284</v>
      </c>
      <c r="J72" s="89">
        <v>1</v>
      </c>
      <c r="K72" s="89">
        <v>2</v>
      </c>
    </row>
    <row r="73" spans="2:11">
      <c r="B73" s="200" t="s">
        <v>386</v>
      </c>
      <c r="C73" s="89">
        <v>273</v>
      </c>
      <c r="D73" s="89">
        <v>265</v>
      </c>
      <c r="E73" s="89" t="s">
        <v>284</v>
      </c>
      <c r="F73" s="89">
        <v>7</v>
      </c>
      <c r="G73" s="89">
        <v>1</v>
      </c>
      <c r="H73" s="89" t="s">
        <v>284</v>
      </c>
      <c r="I73" s="89" t="s">
        <v>284</v>
      </c>
      <c r="J73" s="89" t="s">
        <v>284</v>
      </c>
      <c r="K73" s="89">
        <v>1</v>
      </c>
    </row>
    <row r="74" spans="2:11">
      <c r="B74" s="200"/>
      <c r="C74" s="89"/>
      <c r="D74" s="89"/>
      <c r="E74" s="89"/>
      <c r="F74" s="89"/>
      <c r="G74" s="89"/>
      <c r="H74" s="89"/>
      <c r="I74" s="89"/>
      <c r="J74" s="89"/>
      <c r="K74" s="89"/>
    </row>
    <row r="75" spans="2:11">
      <c r="B75" s="200" t="s">
        <v>387</v>
      </c>
      <c r="C75" s="89">
        <v>715</v>
      </c>
      <c r="D75" s="89">
        <v>708</v>
      </c>
      <c r="E75" s="89">
        <v>4</v>
      </c>
      <c r="F75" s="89">
        <v>1</v>
      </c>
      <c r="G75" s="89">
        <v>2</v>
      </c>
      <c r="H75" s="89" t="s">
        <v>284</v>
      </c>
      <c r="I75" s="89" t="s">
        <v>284</v>
      </c>
      <c r="J75" s="89" t="s">
        <v>284</v>
      </c>
      <c r="K75" s="89">
        <v>2</v>
      </c>
    </row>
    <row r="76" spans="2:11">
      <c r="B76" s="200" t="s">
        <v>388</v>
      </c>
      <c r="C76" s="89">
        <v>164</v>
      </c>
      <c r="D76" s="89">
        <v>162</v>
      </c>
      <c r="E76" s="89" t="s">
        <v>284</v>
      </c>
      <c r="F76" s="89">
        <v>2</v>
      </c>
      <c r="G76" s="89" t="s">
        <v>284</v>
      </c>
      <c r="H76" s="89" t="s">
        <v>284</v>
      </c>
      <c r="I76" s="89" t="s">
        <v>284</v>
      </c>
      <c r="J76" s="89" t="s">
        <v>284</v>
      </c>
      <c r="K76" s="89" t="s">
        <v>284</v>
      </c>
    </row>
    <row r="77" spans="2:11">
      <c r="B77" s="200" t="s">
        <v>389</v>
      </c>
      <c r="C77" s="89">
        <v>1426</v>
      </c>
      <c r="D77" s="89">
        <v>1395</v>
      </c>
      <c r="E77" s="89">
        <v>22</v>
      </c>
      <c r="F77" s="89">
        <v>8</v>
      </c>
      <c r="G77" s="89">
        <v>1</v>
      </c>
      <c r="H77" s="89" t="s">
        <v>284</v>
      </c>
      <c r="I77" s="89" t="s">
        <v>284</v>
      </c>
      <c r="J77" s="89">
        <v>7</v>
      </c>
      <c r="K77" s="89">
        <v>15</v>
      </c>
    </row>
    <row r="78" spans="2:11">
      <c r="B78" s="200" t="s">
        <v>390</v>
      </c>
      <c r="C78" s="89">
        <v>617</v>
      </c>
      <c r="D78" s="89">
        <v>602</v>
      </c>
      <c r="E78" s="89">
        <v>7</v>
      </c>
      <c r="F78" s="89">
        <v>4</v>
      </c>
      <c r="G78" s="89">
        <v>2</v>
      </c>
      <c r="H78" s="89">
        <v>1</v>
      </c>
      <c r="I78" s="89">
        <v>1</v>
      </c>
      <c r="J78" s="89" t="s">
        <v>284</v>
      </c>
      <c r="K78" s="89">
        <v>4</v>
      </c>
    </row>
    <row r="79" spans="2:11">
      <c r="B79" s="200" t="s">
        <v>391</v>
      </c>
      <c r="C79" s="89">
        <v>192</v>
      </c>
      <c r="D79" s="89">
        <v>191</v>
      </c>
      <c r="E79" s="89" t="s">
        <v>284</v>
      </c>
      <c r="F79" s="89">
        <v>1</v>
      </c>
      <c r="G79" s="89" t="s">
        <v>284</v>
      </c>
      <c r="H79" s="89" t="s">
        <v>284</v>
      </c>
      <c r="I79" s="89" t="s">
        <v>284</v>
      </c>
      <c r="J79" s="89" t="s">
        <v>284</v>
      </c>
      <c r="K79" s="89" t="s">
        <v>284</v>
      </c>
    </row>
    <row r="80" spans="2:11">
      <c r="B80" s="200"/>
      <c r="C80" s="89"/>
      <c r="D80" s="89"/>
      <c r="E80" s="89"/>
      <c r="F80" s="89"/>
      <c r="G80" s="89"/>
      <c r="H80" s="89"/>
      <c r="I80" s="89"/>
      <c r="J80" s="89"/>
      <c r="K80" s="89"/>
    </row>
    <row r="81" spans="2:11">
      <c r="B81" s="200" t="s">
        <v>392</v>
      </c>
      <c r="C81" s="89">
        <v>1702</v>
      </c>
      <c r="D81" s="89">
        <v>1485</v>
      </c>
      <c r="E81" s="89">
        <v>195</v>
      </c>
      <c r="F81" s="89">
        <v>13</v>
      </c>
      <c r="G81" s="89">
        <v>3</v>
      </c>
      <c r="H81" s="89">
        <v>5</v>
      </c>
      <c r="I81" s="89">
        <v>1</v>
      </c>
      <c r="J81" s="89">
        <v>1</v>
      </c>
      <c r="K81" s="89">
        <v>27</v>
      </c>
    </row>
    <row r="82" spans="2:11">
      <c r="B82" s="200" t="s">
        <v>393</v>
      </c>
      <c r="C82" s="89">
        <v>458</v>
      </c>
      <c r="D82" s="89">
        <v>446</v>
      </c>
      <c r="E82" s="89">
        <v>6</v>
      </c>
      <c r="F82" s="89">
        <v>5</v>
      </c>
      <c r="G82" s="89" t="s">
        <v>284</v>
      </c>
      <c r="H82" s="89">
        <v>1</v>
      </c>
      <c r="I82" s="89" t="s">
        <v>284</v>
      </c>
      <c r="J82" s="89" t="s">
        <v>284</v>
      </c>
      <c r="K82" s="89">
        <v>6</v>
      </c>
    </row>
    <row r="83" spans="2:11">
      <c r="B83" s="200" t="s">
        <v>394</v>
      </c>
      <c r="C83" s="89">
        <v>9898</v>
      </c>
      <c r="D83" s="89">
        <v>8312</v>
      </c>
      <c r="E83" s="89">
        <v>1353</v>
      </c>
      <c r="F83" s="89">
        <v>16</v>
      </c>
      <c r="G83" s="89">
        <v>172</v>
      </c>
      <c r="H83" s="89">
        <v>42</v>
      </c>
      <c r="I83" s="89">
        <v>3</v>
      </c>
      <c r="J83" s="89">
        <v>281</v>
      </c>
      <c r="K83" s="89">
        <v>131</v>
      </c>
    </row>
    <row r="84" spans="2:11">
      <c r="B84" s="200" t="s">
        <v>395</v>
      </c>
      <c r="C84" s="89">
        <v>260</v>
      </c>
      <c r="D84" s="89">
        <v>254</v>
      </c>
      <c r="E84" s="89" t="s">
        <v>284</v>
      </c>
      <c r="F84" s="89">
        <v>6</v>
      </c>
      <c r="G84" s="89" t="s">
        <v>284</v>
      </c>
      <c r="H84" s="89" t="s">
        <v>284</v>
      </c>
      <c r="I84" s="89" t="s">
        <v>284</v>
      </c>
      <c r="J84" s="89" t="s">
        <v>284</v>
      </c>
      <c r="K84" s="89">
        <v>6</v>
      </c>
    </row>
    <row r="85" spans="2:11">
      <c r="B85" s="200" t="s">
        <v>396</v>
      </c>
      <c r="C85" s="89">
        <v>327</v>
      </c>
      <c r="D85" s="89">
        <v>326</v>
      </c>
      <c r="E85" s="89" t="s">
        <v>284</v>
      </c>
      <c r="F85" s="89">
        <v>1</v>
      </c>
      <c r="G85" s="89" t="s">
        <v>284</v>
      </c>
      <c r="H85" s="89" t="s">
        <v>284</v>
      </c>
      <c r="I85" s="89" t="s">
        <v>284</v>
      </c>
      <c r="J85" s="89" t="s">
        <v>284</v>
      </c>
      <c r="K85" s="89">
        <v>1</v>
      </c>
    </row>
    <row r="86" spans="2:11">
      <c r="B86" s="200"/>
      <c r="C86" s="89"/>
      <c r="D86" s="89"/>
      <c r="E86" s="89"/>
      <c r="F86" s="89"/>
      <c r="G86" s="89"/>
      <c r="H86" s="89"/>
      <c r="I86" s="89"/>
      <c r="J86" s="89"/>
      <c r="K86" s="89"/>
    </row>
    <row r="87" spans="2:11">
      <c r="B87" s="200" t="s">
        <v>397</v>
      </c>
      <c r="C87" s="89">
        <v>88</v>
      </c>
      <c r="D87" s="89">
        <v>86</v>
      </c>
      <c r="E87" s="89" t="s">
        <v>284</v>
      </c>
      <c r="F87" s="89">
        <v>1</v>
      </c>
      <c r="G87" s="89">
        <v>1</v>
      </c>
      <c r="H87" s="89" t="s">
        <v>284</v>
      </c>
      <c r="I87" s="89" t="s">
        <v>284</v>
      </c>
      <c r="J87" s="89" t="s">
        <v>284</v>
      </c>
      <c r="K87" s="89" t="s">
        <v>284</v>
      </c>
    </row>
    <row r="88" spans="2:11">
      <c r="B88" s="200" t="s">
        <v>398</v>
      </c>
      <c r="C88" s="89">
        <v>225</v>
      </c>
      <c r="D88" s="89">
        <v>222</v>
      </c>
      <c r="E88" s="89">
        <v>1</v>
      </c>
      <c r="F88" s="89">
        <v>2</v>
      </c>
      <c r="G88" s="89" t="s">
        <v>284</v>
      </c>
      <c r="H88" s="89" t="s">
        <v>284</v>
      </c>
      <c r="I88" s="89" t="s">
        <v>284</v>
      </c>
      <c r="J88" s="89" t="s">
        <v>284</v>
      </c>
      <c r="K88" s="89">
        <v>3</v>
      </c>
    </row>
    <row r="89" spans="2:11">
      <c r="B89" s="200" t="s">
        <v>399</v>
      </c>
      <c r="C89" s="89">
        <v>120</v>
      </c>
      <c r="D89" s="89">
        <v>118</v>
      </c>
      <c r="E89" s="89">
        <v>1</v>
      </c>
      <c r="F89" s="89">
        <v>1</v>
      </c>
      <c r="G89" s="89" t="s">
        <v>284</v>
      </c>
      <c r="H89" s="89" t="s">
        <v>284</v>
      </c>
      <c r="I89" s="89" t="s">
        <v>284</v>
      </c>
      <c r="J89" s="89" t="s">
        <v>284</v>
      </c>
      <c r="K89" s="89" t="s">
        <v>284</v>
      </c>
    </row>
    <row r="90" spans="2:11">
      <c r="B90" s="200" t="s">
        <v>400</v>
      </c>
      <c r="C90" s="89">
        <v>265</v>
      </c>
      <c r="D90" s="89">
        <v>260</v>
      </c>
      <c r="E90" s="89">
        <v>2</v>
      </c>
      <c r="F90" s="89">
        <v>2</v>
      </c>
      <c r="G90" s="89">
        <v>1</v>
      </c>
      <c r="H90" s="89" t="s">
        <v>284</v>
      </c>
      <c r="I90" s="89" t="s">
        <v>284</v>
      </c>
      <c r="J90" s="89" t="s">
        <v>284</v>
      </c>
      <c r="K90" s="89">
        <v>1</v>
      </c>
    </row>
    <row r="91" spans="2:11">
      <c r="B91" s="200" t="s">
        <v>401</v>
      </c>
      <c r="C91" s="89">
        <v>1767</v>
      </c>
      <c r="D91" s="89">
        <v>1737</v>
      </c>
      <c r="E91" s="89">
        <v>6</v>
      </c>
      <c r="F91" s="89">
        <v>9</v>
      </c>
      <c r="G91" s="89">
        <v>11</v>
      </c>
      <c r="H91" s="89">
        <v>2</v>
      </c>
      <c r="I91" s="89">
        <v>2</v>
      </c>
      <c r="J91" s="89">
        <v>5</v>
      </c>
      <c r="K91" s="89">
        <v>65</v>
      </c>
    </row>
    <row r="92" spans="2:11">
      <c r="B92" s="200"/>
      <c r="C92" s="89"/>
      <c r="D92" s="89"/>
      <c r="E92" s="89"/>
      <c r="F92" s="89"/>
      <c r="G92" s="89"/>
      <c r="H92" s="89"/>
      <c r="I92" s="89"/>
      <c r="J92" s="89"/>
      <c r="K92" s="89"/>
    </row>
    <row r="93" spans="2:11">
      <c r="B93" s="200" t="s">
        <v>402</v>
      </c>
      <c r="C93" s="89">
        <v>177</v>
      </c>
      <c r="D93" s="89">
        <v>173</v>
      </c>
      <c r="E93" s="89">
        <v>1</v>
      </c>
      <c r="F93" s="89">
        <v>3</v>
      </c>
      <c r="G93" s="89" t="s">
        <v>284</v>
      </c>
      <c r="H93" s="89" t="s">
        <v>284</v>
      </c>
      <c r="I93" s="89" t="s">
        <v>284</v>
      </c>
      <c r="J93" s="89" t="s">
        <v>284</v>
      </c>
      <c r="K93" s="89" t="s">
        <v>284</v>
      </c>
    </row>
    <row r="94" spans="2:11">
      <c r="B94" s="200" t="s">
        <v>403</v>
      </c>
      <c r="C94" s="89">
        <v>393</v>
      </c>
      <c r="D94" s="89">
        <v>391</v>
      </c>
      <c r="E94" s="89" t="s">
        <v>284</v>
      </c>
      <c r="F94" s="89">
        <v>2</v>
      </c>
      <c r="G94" s="89" t="s">
        <v>284</v>
      </c>
      <c r="H94" s="89" t="s">
        <v>284</v>
      </c>
      <c r="I94" s="89" t="s">
        <v>284</v>
      </c>
      <c r="J94" s="89" t="s">
        <v>284</v>
      </c>
      <c r="K94" s="89">
        <v>5</v>
      </c>
    </row>
    <row r="95" spans="2:11">
      <c r="B95" s="200" t="s">
        <v>404</v>
      </c>
      <c r="C95" s="89">
        <v>1961</v>
      </c>
      <c r="D95" s="89">
        <v>1576</v>
      </c>
      <c r="E95" s="89">
        <v>371</v>
      </c>
      <c r="F95" s="89">
        <v>5</v>
      </c>
      <c r="G95" s="89">
        <v>6</v>
      </c>
      <c r="H95" s="89">
        <v>3</v>
      </c>
      <c r="I95" s="89" t="s">
        <v>284</v>
      </c>
      <c r="J95" s="89">
        <v>6</v>
      </c>
      <c r="K95" s="89">
        <v>83</v>
      </c>
    </row>
    <row r="96" spans="2:11">
      <c r="B96" s="200" t="s">
        <v>405</v>
      </c>
      <c r="C96" s="89">
        <v>1748</v>
      </c>
      <c r="D96" s="89">
        <v>1699</v>
      </c>
      <c r="E96" s="89">
        <v>35</v>
      </c>
      <c r="F96" s="89">
        <v>7</v>
      </c>
      <c r="G96" s="89">
        <v>3</v>
      </c>
      <c r="H96" s="89">
        <v>4</v>
      </c>
      <c r="I96" s="89" t="s">
        <v>284</v>
      </c>
      <c r="J96" s="89">
        <v>8</v>
      </c>
      <c r="K96" s="89">
        <v>15</v>
      </c>
    </row>
    <row r="97" spans="2:11">
      <c r="B97" s="200" t="s">
        <v>406</v>
      </c>
      <c r="C97" s="89">
        <v>637</v>
      </c>
      <c r="D97" s="89">
        <v>612</v>
      </c>
      <c r="E97" s="89">
        <v>17</v>
      </c>
      <c r="F97" s="89">
        <v>4</v>
      </c>
      <c r="G97" s="89">
        <v>2</v>
      </c>
      <c r="H97" s="89">
        <v>2</v>
      </c>
      <c r="I97" s="89" t="s">
        <v>284</v>
      </c>
      <c r="J97" s="89" t="s">
        <v>284</v>
      </c>
      <c r="K97" s="89">
        <v>8</v>
      </c>
    </row>
    <row r="98" spans="2:11">
      <c r="B98" s="200"/>
      <c r="C98" s="89"/>
      <c r="D98" s="89"/>
      <c r="E98" s="89"/>
      <c r="F98" s="89"/>
      <c r="G98" s="89"/>
      <c r="H98" s="89"/>
      <c r="I98" s="89"/>
      <c r="J98" s="89"/>
      <c r="K98" s="89"/>
    </row>
    <row r="99" spans="2:11">
      <c r="B99" s="200" t="s">
        <v>407</v>
      </c>
      <c r="C99" s="89">
        <v>490</v>
      </c>
      <c r="D99" s="89">
        <v>485</v>
      </c>
      <c r="E99" s="89">
        <v>1</v>
      </c>
      <c r="F99" s="89">
        <v>4</v>
      </c>
      <c r="G99" s="89" t="s">
        <v>284</v>
      </c>
      <c r="H99" s="89" t="s">
        <v>284</v>
      </c>
      <c r="I99" s="89" t="s">
        <v>284</v>
      </c>
      <c r="J99" s="89" t="s">
        <v>284</v>
      </c>
      <c r="K99" s="89">
        <v>3</v>
      </c>
    </row>
    <row r="100" spans="2:11">
      <c r="B100" s="200" t="s">
        <v>408</v>
      </c>
      <c r="C100" s="89">
        <v>117</v>
      </c>
      <c r="D100" s="89">
        <v>114</v>
      </c>
      <c r="E100" s="89" t="s">
        <v>284</v>
      </c>
      <c r="F100" s="89">
        <v>3</v>
      </c>
      <c r="G100" s="89" t="s">
        <v>284</v>
      </c>
      <c r="H100" s="89" t="s">
        <v>284</v>
      </c>
      <c r="I100" s="89" t="s">
        <v>284</v>
      </c>
      <c r="J100" s="89" t="s">
        <v>284</v>
      </c>
      <c r="K100" s="89" t="s">
        <v>284</v>
      </c>
    </row>
    <row r="101" spans="2:11">
      <c r="B101" s="200" t="s">
        <v>409</v>
      </c>
      <c r="C101" s="89">
        <v>748</v>
      </c>
      <c r="D101" s="89">
        <v>737</v>
      </c>
      <c r="E101" s="89">
        <v>1</v>
      </c>
      <c r="F101" s="89">
        <v>5</v>
      </c>
      <c r="G101" s="89">
        <v>1</v>
      </c>
      <c r="H101" s="89">
        <v>4</v>
      </c>
      <c r="I101" s="89" t="s">
        <v>284</v>
      </c>
      <c r="J101" s="89" t="s">
        <v>284</v>
      </c>
      <c r="K101" s="89">
        <v>10</v>
      </c>
    </row>
    <row r="102" spans="2:11">
      <c r="B102" s="200" t="s">
        <v>410</v>
      </c>
      <c r="C102" s="89">
        <v>563</v>
      </c>
      <c r="D102" s="89">
        <v>552</v>
      </c>
      <c r="E102" s="89">
        <v>6</v>
      </c>
      <c r="F102" s="89">
        <v>4</v>
      </c>
      <c r="G102" s="89">
        <v>1</v>
      </c>
      <c r="H102" s="89" t="s">
        <v>284</v>
      </c>
      <c r="I102" s="89" t="s">
        <v>284</v>
      </c>
      <c r="J102" s="89" t="s">
        <v>284</v>
      </c>
      <c r="K102" s="89">
        <v>6</v>
      </c>
    </row>
    <row r="103" spans="2:11">
      <c r="B103" s="200" t="s">
        <v>411</v>
      </c>
      <c r="C103" s="89">
        <v>741</v>
      </c>
      <c r="D103" s="89">
        <v>678</v>
      </c>
      <c r="E103" s="89">
        <v>48</v>
      </c>
      <c r="F103" s="89">
        <v>13</v>
      </c>
      <c r="G103" s="89" t="s">
        <v>284</v>
      </c>
      <c r="H103" s="89">
        <v>2</v>
      </c>
      <c r="I103" s="89" t="s">
        <v>284</v>
      </c>
      <c r="J103" s="89">
        <v>1</v>
      </c>
      <c r="K103" s="89">
        <v>13</v>
      </c>
    </row>
    <row r="104" spans="2:11">
      <c r="B104" s="131"/>
      <c r="C104" s="89"/>
      <c r="D104" s="89"/>
      <c r="E104" s="89"/>
      <c r="F104" s="89"/>
      <c r="G104" s="89"/>
      <c r="H104" s="89"/>
      <c r="I104" s="89"/>
      <c r="J104" s="89"/>
      <c r="K104" s="89"/>
    </row>
    <row r="105" spans="2:11">
      <c r="B105" s="200" t="s">
        <v>412</v>
      </c>
      <c r="C105" s="89">
        <v>2164</v>
      </c>
      <c r="D105" s="89">
        <v>1851</v>
      </c>
      <c r="E105" s="89">
        <v>257</v>
      </c>
      <c r="F105" s="89">
        <v>10</v>
      </c>
      <c r="G105" s="89">
        <v>39</v>
      </c>
      <c r="H105" s="89">
        <v>6</v>
      </c>
      <c r="I105" s="89">
        <v>1</v>
      </c>
      <c r="J105" s="89">
        <v>18</v>
      </c>
      <c r="K105" s="89">
        <v>23</v>
      </c>
    </row>
    <row r="106" spans="2:11">
      <c r="B106" s="200" t="s">
        <v>413</v>
      </c>
      <c r="C106" s="89">
        <v>17984</v>
      </c>
      <c r="D106" s="89">
        <v>10168</v>
      </c>
      <c r="E106" s="89">
        <v>7443</v>
      </c>
      <c r="F106" s="89">
        <v>37</v>
      </c>
      <c r="G106" s="89">
        <v>117</v>
      </c>
      <c r="H106" s="89">
        <v>206</v>
      </c>
      <c r="I106" s="89">
        <v>13</v>
      </c>
      <c r="J106" s="89">
        <v>319</v>
      </c>
      <c r="K106" s="89">
        <v>344</v>
      </c>
    </row>
    <row r="107" spans="2:11">
      <c r="B107" s="200" t="s">
        <v>414</v>
      </c>
      <c r="C107" s="89">
        <v>375</v>
      </c>
      <c r="D107" s="89">
        <v>369</v>
      </c>
      <c r="E107" s="89">
        <v>1</v>
      </c>
      <c r="F107" s="89">
        <v>5</v>
      </c>
      <c r="G107" s="89" t="s">
        <v>284</v>
      </c>
      <c r="H107" s="89" t="s">
        <v>284</v>
      </c>
      <c r="I107" s="89" t="s">
        <v>284</v>
      </c>
      <c r="J107" s="89" t="s">
        <v>284</v>
      </c>
      <c r="K107" s="89" t="s">
        <v>284</v>
      </c>
    </row>
    <row r="108" spans="2:11">
      <c r="B108" s="131" t="s">
        <v>415</v>
      </c>
      <c r="C108" s="89">
        <v>30</v>
      </c>
      <c r="D108" s="89">
        <v>23</v>
      </c>
      <c r="E108" s="89">
        <v>6</v>
      </c>
      <c r="F108" s="89">
        <v>1</v>
      </c>
      <c r="G108" s="89" t="s">
        <v>284</v>
      </c>
      <c r="H108" s="89" t="s">
        <v>284</v>
      </c>
      <c r="I108" s="89" t="s">
        <v>284</v>
      </c>
      <c r="J108" s="89">
        <v>1</v>
      </c>
      <c r="K108" s="89" t="s">
        <v>284</v>
      </c>
    </row>
    <row r="109" spans="2:11">
      <c r="B109" s="65"/>
      <c r="C109" s="65"/>
      <c r="D109" s="65"/>
      <c r="E109" s="65"/>
      <c r="F109" s="65"/>
      <c r="G109" s="65"/>
      <c r="H109" s="65"/>
      <c r="I109" s="65"/>
      <c r="J109" s="65"/>
      <c r="K109" s="65"/>
    </row>
    <row r="110" spans="2:11" ht="15.75">
      <c r="B110" s="354" t="s">
        <v>155</v>
      </c>
      <c r="C110" s="355"/>
      <c r="D110" s="355"/>
      <c r="E110" s="355"/>
      <c r="F110" s="355"/>
      <c r="G110" s="355"/>
      <c r="H110" s="355"/>
      <c r="I110" s="355"/>
      <c r="J110" s="355"/>
      <c r="K110" s="355"/>
    </row>
    <row r="111" spans="2:11" ht="15.75" customHeight="1">
      <c r="B111" s="346" t="s">
        <v>612</v>
      </c>
      <c r="C111" s="346"/>
      <c r="D111" s="346"/>
      <c r="E111" s="346"/>
      <c r="F111" s="346"/>
      <c r="G111" s="346"/>
      <c r="H111" s="346"/>
      <c r="I111" s="346"/>
      <c r="J111" s="346"/>
      <c r="K111" s="346"/>
    </row>
    <row r="112" spans="2:11">
      <c r="B112" s="346"/>
      <c r="C112" s="346"/>
      <c r="D112" s="346"/>
      <c r="E112" s="346"/>
      <c r="F112" s="346"/>
      <c r="G112" s="346"/>
      <c r="H112" s="346"/>
      <c r="I112" s="346"/>
      <c r="J112" s="346"/>
      <c r="K112" s="346"/>
    </row>
  </sheetData>
  <mergeCells count="10">
    <mergeCell ref="B111:K112"/>
    <mergeCell ref="B110:K110"/>
    <mergeCell ref="F5:F6"/>
    <mergeCell ref="G5:G6"/>
    <mergeCell ref="H5:H6"/>
    <mergeCell ref="B5:B6"/>
    <mergeCell ref="C5:C6"/>
    <mergeCell ref="D5:D6"/>
    <mergeCell ref="E5:E6"/>
    <mergeCell ref="I5:I6"/>
  </mergeCells>
  <phoneticPr fontId="10" type="noConversion"/>
  <pageMargins left="0.75" right="0.75" top="1" bottom="1" header="0.5" footer="0.5"/>
  <pageSetup scale="8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21"/>
  <sheetViews>
    <sheetView workbookViewId="0"/>
  </sheetViews>
  <sheetFormatPr defaultRowHeight="15"/>
  <cols>
    <col min="1" max="1" width="4.33203125" style="2" customWidth="1"/>
    <col min="2" max="2" width="12.6640625" style="2" customWidth="1"/>
    <col min="3" max="3" width="11" style="2" customWidth="1"/>
    <col min="4" max="4" width="9.5" style="2" bestFit="1" customWidth="1"/>
    <col min="5" max="10" width="8.6640625" style="2" customWidth="1"/>
    <col min="11" max="11" width="14.1640625" style="2" customWidth="1"/>
    <col min="12" max="16384" width="9.33203125" style="2"/>
  </cols>
  <sheetData>
    <row r="2" spans="2:11">
      <c r="B2" s="3" t="s">
        <v>275</v>
      </c>
      <c r="C2" s="4"/>
      <c r="D2" s="4"/>
      <c r="E2" s="4"/>
      <c r="F2" s="4"/>
      <c r="G2" s="4"/>
      <c r="H2" s="4"/>
      <c r="I2" s="4"/>
      <c r="J2" s="4"/>
      <c r="K2" s="4"/>
    </row>
    <row r="3" spans="2:11" ht="15.75">
      <c r="B3" s="5" t="s">
        <v>276</v>
      </c>
      <c r="C3" s="4"/>
      <c r="D3" s="4"/>
      <c r="E3" s="4"/>
      <c r="F3" s="4"/>
      <c r="G3" s="4"/>
      <c r="H3" s="4"/>
      <c r="I3" s="4"/>
      <c r="J3" s="4"/>
      <c r="K3" s="4"/>
    </row>
    <row r="4" spans="2:11">
      <c r="B4" s="3" t="s">
        <v>566</v>
      </c>
      <c r="C4" s="4"/>
      <c r="D4" s="4"/>
      <c r="E4" s="4"/>
      <c r="F4" s="4"/>
      <c r="G4" s="4"/>
      <c r="H4" s="4"/>
      <c r="I4" s="4"/>
      <c r="J4" s="4"/>
      <c r="K4" s="4"/>
    </row>
    <row r="5" spans="2:11">
      <c r="B5" s="282" t="s">
        <v>157</v>
      </c>
      <c r="C5" s="39" t="s">
        <v>264</v>
      </c>
      <c r="D5" s="39"/>
      <c r="E5" s="40"/>
      <c r="F5" s="40"/>
      <c r="G5" s="40"/>
      <c r="H5" s="40"/>
      <c r="I5" s="40"/>
      <c r="J5" s="41"/>
      <c r="K5" s="291" t="s">
        <v>310</v>
      </c>
    </row>
    <row r="6" spans="2:11">
      <c r="B6" s="283"/>
      <c r="C6" s="20" t="s">
        <v>265</v>
      </c>
      <c r="D6" s="42" t="s">
        <v>266</v>
      </c>
      <c r="E6" s="20" t="s">
        <v>267</v>
      </c>
      <c r="F6" s="20" t="s">
        <v>268</v>
      </c>
      <c r="G6" s="20" t="s">
        <v>269</v>
      </c>
      <c r="H6" s="20" t="s">
        <v>270</v>
      </c>
      <c r="I6" s="20" t="s">
        <v>271</v>
      </c>
      <c r="J6" s="20" t="s">
        <v>272</v>
      </c>
      <c r="K6" s="292"/>
    </row>
    <row r="7" spans="2:11">
      <c r="B7" s="8" t="s">
        <v>160</v>
      </c>
      <c r="C7" s="43">
        <v>0.2</v>
      </c>
      <c r="D7" s="43">
        <v>55.7</v>
      </c>
      <c r="E7" s="43">
        <v>173.1</v>
      </c>
      <c r="F7" s="43">
        <v>164</v>
      </c>
      <c r="G7" s="43">
        <v>124.2</v>
      </c>
      <c r="H7" s="43">
        <v>83.8</v>
      </c>
      <c r="I7" s="43">
        <v>34.299999999999997</v>
      </c>
      <c r="J7" s="43">
        <v>3.8</v>
      </c>
      <c r="K7" s="43">
        <v>3195.5</v>
      </c>
    </row>
    <row r="8" spans="2:11">
      <c r="B8" s="8" t="s">
        <v>198</v>
      </c>
      <c r="C8" s="43">
        <v>0.2</v>
      </c>
      <c r="D8" s="43">
        <v>56.9</v>
      </c>
      <c r="E8" s="43">
        <v>167.3</v>
      </c>
      <c r="F8" s="43">
        <v>165.5</v>
      </c>
      <c r="G8" s="43">
        <v>125.8</v>
      </c>
      <c r="H8" s="43">
        <v>84.8</v>
      </c>
      <c r="I8" s="43">
        <v>32.799999999999997</v>
      </c>
      <c r="J8" s="43">
        <v>3.6</v>
      </c>
      <c r="K8" s="43">
        <v>3184.5</v>
      </c>
    </row>
    <row r="9" spans="2:11">
      <c r="B9" s="8" t="s">
        <v>199</v>
      </c>
      <c r="C9" s="43">
        <v>0.2</v>
      </c>
      <c r="D9" s="43">
        <v>50.8</v>
      </c>
      <c r="E9" s="43">
        <v>149.6</v>
      </c>
      <c r="F9" s="43">
        <v>149.1</v>
      </c>
      <c r="G9" s="43">
        <v>117.3</v>
      </c>
      <c r="H9" s="43">
        <v>77.099999999999994</v>
      </c>
      <c r="I9" s="43">
        <v>30.7</v>
      </c>
      <c r="J9" s="43">
        <v>3.5</v>
      </c>
      <c r="K9" s="43">
        <v>2891.5</v>
      </c>
    </row>
    <row r="10" spans="2:11">
      <c r="B10" s="8" t="s">
        <v>200</v>
      </c>
      <c r="C10" s="43">
        <v>0.2</v>
      </c>
      <c r="D10" s="43">
        <v>52.6</v>
      </c>
      <c r="E10" s="43">
        <v>152.6</v>
      </c>
      <c r="F10" s="43">
        <v>147.5</v>
      </c>
      <c r="G10" s="43">
        <v>116.5</v>
      </c>
      <c r="H10" s="43">
        <v>75.400000000000006</v>
      </c>
      <c r="I10" s="43">
        <v>29.3</v>
      </c>
      <c r="J10" s="43">
        <v>3.8</v>
      </c>
      <c r="K10" s="43">
        <v>2889.5</v>
      </c>
    </row>
    <row r="11" spans="2:11">
      <c r="B11" s="8" t="s">
        <v>201</v>
      </c>
      <c r="C11" s="43">
        <v>0.2</v>
      </c>
      <c r="D11" s="43">
        <v>57.4</v>
      </c>
      <c r="E11" s="43">
        <v>160</v>
      </c>
      <c r="F11" s="43">
        <v>146.1</v>
      </c>
      <c r="G11" s="43">
        <v>117.3</v>
      </c>
      <c r="H11" s="43">
        <v>76.7</v>
      </c>
      <c r="I11" s="43">
        <v>29.9</v>
      </c>
      <c r="J11" s="43">
        <v>3.1</v>
      </c>
      <c r="K11" s="43">
        <v>2953.5</v>
      </c>
    </row>
    <row r="12" spans="2:11">
      <c r="B12" s="8" t="s">
        <v>202</v>
      </c>
      <c r="C12" s="43">
        <v>0.3</v>
      </c>
      <c r="D12" s="43">
        <v>57.4</v>
      </c>
      <c r="E12" s="43">
        <v>155.9</v>
      </c>
      <c r="F12" s="43">
        <v>145.4</v>
      </c>
      <c r="G12" s="43">
        <v>115.2</v>
      </c>
      <c r="H12" s="43">
        <v>73.900000000000006</v>
      </c>
      <c r="I12" s="43">
        <v>28.8</v>
      </c>
      <c r="J12" s="43">
        <v>3.5</v>
      </c>
      <c r="K12" s="43">
        <v>2902</v>
      </c>
    </row>
    <row r="13" spans="2:11">
      <c r="B13" s="8" t="s">
        <v>203</v>
      </c>
      <c r="C13" s="43">
        <v>0.4</v>
      </c>
      <c r="D13" s="43">
        <v>56.9</v>
      </c>
      <c r="E13" s="43">
        <v>153.30000000000001</v>
      </c>
      <c r="F13" s="43">
        <v>140.5</v>
      </c>
      <c r="G13" s="43">
        <v>109.7</v>
      </c>
      <c r="H13" s="43">
        <v>70.099999999999994</v>
      </c>
      <c r="I13" s="43">
        <v>26.8</v>
      </c>
      <c r="J13" s="43">
        <v>3.2</v>
      </c>
      <c r="K13" s="43">
        <v>2804.5</v>
      </c>
    </row>
    <row r="14" spans="2:11">
      <c r="B14" s="8" t="s">
        <v>204</v>
      </c>
      <c r="C14" s="43">
        <v>0.3</v>
      </c>
      <c r="D14" s="43">
        <v>56</v>
      </c>
      <c r="E14" s="43">
        <v>153.30000000000001</v>
      </c>
      <c r="F14" s="43">
        <v>136.80000000000001</v>
      </c>
      <c r="G14" s="43">
        <v>108.9</v>
      </c>
      <c r="H14" s="43">
        <v>68.099999999999994</v>
      </c>
      <c r="I14" s="43">
        <v>27</v>
      </c>
      <c r="J14" s="43">
        <v>2.9</v>
      </c>
      <c r="K14" s="43">
        <v>2766.5</v>
      </c>
    </row>
    <row r="15" spans="2:11">
      <c r="B15" s="8" t="s">
        <v>205</v>
      </c>
      <c r="C15" s="43">
        <v>0.2</v>
      </c>
      <c r="D15" s="43">
        <v>54.8</v>
      </c>
      <c r="E15" s="43">
        <v>147.1</v>
      </c>
      <c r="F15" s="43">
        <v>130.30000000000001</v>
      </c>
      <c r="G15" s="43">
        <v>101.5</v>
      </c>
      <c r="H15" s="43">
        <v>63.7</v>
      </c>
      <c r="I15" s="43">
        <v>25</v>
      </c>
      <c r="J15" s="43">
        <v>2.6</v>
      </c>
      <c r="K15" s="43">
        <v>2626</v>
      </c>
    </row>
    <row r="16" spans="2:11">
      <c r="B16" s="8" t="s">
        <v>206</v>
      </c>
      <c r="C16" s="43">
        <v>0.2</v>
      </c>
      <c r="D16" s="43">
        <v>55.7</v>
      </c>
      <c r="E16" s="43">
        <v>151.5</v>
      </c>
      <c r="F16" s="43">
        <v>130.6</v>
      </c>
      <c r="G16" s="43">
        <v>93.6</v>
      </c>
      <c r="H16" s="43">
        <v>59.6</v>
      </c>
      <c r="I16" s="43">
        <v>23.9</v>
      </c>
      <c r="J16" s="43">
        <v>2.4</v>
      </c>
      <c r="K16" s="43">
        <v>2587.5</v>
      </c>
    </row>
    <row r="17" spans="2:11">
      <c r="B17" s="11"/>
      <c r="C17" s="43"/>
      <c r="D17" s="43"/>
      <c r="E17" s="43"/>
      <c r="F17" s="43"/>
      <c r="G17" s="43"/>
      <c r="H17" s="44"/>
      <c r="I17" s="43"/>
      <c r="J17" s="43"/>
      <c r="K17" s="43"/>
    </row>
    <row r="18" spans="2:11">
      <c r="B18" s="8" t="s">
        <v>161</v>
      </c>
      <c r="C18" s="43">
        <v>0.3</v>
      </c>
      <c r="D18" s="43">
        <v>55.2</v>
      </c>
      <c r="E18" s="43">
        <v>145.5</v>
      </c>
      <c r="F18" s="43">
        <v>130.19999999999999</v>
      </c>
      <c r="G18" s="43">
        <v>92.8</v>
      </c>
      <c r="H18" s="43">
        <v>58.9</v>
      </c>
      <c r="I18" s="43">
        <v>23.7</v>
      </c>
      <c r="J18" s="43">
        <v>2.2999999999999998</v>
      </c>
      <c r="K18" s="43">
        <v>2544.5</v>
      </c>
    </row>
    <row r="19" spans="2:11">
      <c r="B19" s="8" t="s">
        <v>207</v>
      </c>
      <c r="C19" s="43">
        <v>0.3</v>
      </c>
      <c r="D19" s="43">
        <v>47.8</v>
      </c>
      <c r="E19" s="43">
        <v>130.4</v>
      </c>
      <c r="F19" s="43">
        <v>118.3</v>
      </c>
      <c r="G19" s="43">
        <v>85.3</v>
      </c>
      <c r="H19" s="43">
        <v>54.3</v>
      </c>
      <c r="I19" s="43">
        <v>21.5</v>
      </c>
      <c r="J19" s="43">
        <v>2.2999999999999998</v>
      </c>
      <c r="K19" s="43">
        <v>2301</v>
      </c>
    </row>
    <row r="20" spans="2:11">
      <c r="B20" s="8" t="s">
        <v>208</v>
      </c>
      <c r="C20" s="43">
        <v>0.3</v>
      </c>
      <c r="D20" s="43">
        <v>43.4</v>
      </c>
      <c r="E20" s="43">
        <v>121.5</v>
      </c>
      <c r="F20" s="43">
        <v>111</v>
      </c>
      <c r="G20" s="43">
        <v>79.400000000000006</v>
      </c>
      <c r="H20" s="43">
        <v>50.8</v>
      </c>
      <c r="I20" s="43">
        <v>20.8</v>
      </c>
      <c r="J20" s="43">
        <v>2.2000000000000002</v>
      </c>
      <c r="K20" s="43">
        <v>2148</v>
      </c>
    </row>
    <row r="21" spans="2:11">
      <c r="B21" s="8" t="s">
        <v>209</v>
      </c>
      <c r="C21" s="43">
        <v>0.2</v>
      </c>
      <c r="D21" s="43">
        <v>39.700000000000003</v>
      </c>
      <c r="E21" s="43">
        <v>111.6</v>
      </c>
      <c r="F21" s="43">
        <v>105.2</v>
      </c>
      <c r="G21" s="43">
        <v>75</v>
      </c>
      <c r="H21" s="43">
        <v>47.7</v>
      </c>
      <c r="I21" s="43">
        <v>20</v>
      </c>
      <c r="J21" s="43">
        <v>1.9</v>
      </c>
      <c r="K21" s="43">
        <v>2006.5</v>
      </c>
    </row>
    <row r="22" spans="2:11">
      <c r="B22" s="8" t="s">
        <v>210</v>
      </c>
      <c r="C22" s="43">
        <v>0.2</v>
      </c>
      <c r="D22" s="43">
        <v>41</v>
      </c>
      <c r="E22" s="43">
        <v>117.6</v>
      </c>
      <c r="F22" s="43">
        <v>108.4</v>
      </c>
      <c r="G22" s="43">
        <v>77.8</v>
      </c>
      <c r="H22" s="43">
        <v>45.3</v>
      </c>
      <c r="I22" s="43">
        <v>18.899999999999999</v>
      </c>
      <c r="J22" s="43">
        <v>1.8</v>
      </c>
      <c r="K22" s="43">
        <v>2055</v>
      </c>
    </row>
    <row r="23" spans="2:11">
      <c r="B23" s="8" t="s">
        <v>211</v>
      </c>
      <c r="C23" s="43">
        <v>0.2</v>
      </c>
      <c r="D23" s="43">
        <v>43.9</v>
      </c>
      <c r="E23" s="43">
        <v>126.2</v>
      </c>
      <c r="F23" s="43">
        <v>109.4</v>
      </c>
      <c r="G23" s="43">
        <v>77.400000000000006</v>
      </c>
      <c r="H23" s="43">
        <v>45.5</v>
      </c>
      <c r="I23" s="43">
        <v>18.5</v>
      </c>
      <c r="J23" s="43">
        <v>2</v>
      </c>
      <c r="K23" s="43">
        <v>2115.5</v>
      </c>
    </row>
    <row r="24" spans="2:11">
      <c r="B24" s="8" t="s">
        <v>212</v>
      </c>
      <c r="C24" s="43">
        <v>0.2</v>
      </c>
      <c r="D24" s="43">
        <v>43.1</v>
      </c>
      <c r="E24" s="43">
        <v>129.5</v>
      </c>
      <c r="F24" s="43">
        <v>111.4</v>
      </c>
      <c r="G24" s="43">
        <v>75.5</v>
      </c>
      <c r="H24" s="43">
        <v>43.8</v>
      </c>
      <c r="I24" s="43">
        <v>17.3</v>
      </c>
      <c r="J24" s="43">
        <v>1.8</v>
      </c>
      <c r="K24" s="43">
        <v>2113</v>
      </c>
    </row>
    <row r="25" spans="2:11">
      <c r="B25" s="8" t="s">
        <v>213</v>
      </c>
      <c r="C25" s="43">
        <v>0.2</v>
      </c>
      <c r="D25" s="43">
        <v>45.9</v>
      </c>
      <c r="E25" s="43">
        <v>136.4</v>
      </c>
      <c r="F25" s="43">
        <v>113.9</v>
      </c>
      <c r="G25" s="43">
        <v>75.900000000000006</v>
      </c>
      <c r="H25" s="43">
        <v>42.3</v>
      </c>
      <c r="I25" s="43">
        <v>15.8</v>
      </c>
      <c r="J25" s="43">
        <v>1.6</v>
      </c>
      <c r="K25" s="43">
        <v>2160</v>
      </c>
    </row>
    <row r="26" spans="2:11">
      <c r="B26" s="8" t="s">
        <v>214</v>
      </c>
      <c r="C26" s="43">
        <v>0.3</v>
      </c>
      <c r="D26" s="43">
        <v>47.4</v>
      </c>
      <c r="E26" s="43">
        <v>143.9</v>
      </c>
      <c r="F26" s="43">
        <v>120.9</v>
      </c>
      <c r="G26" s="43">
        <v>78.5</v>
      </c>
      <c r="H26" s="43">
        <v>44.4</v>
      </c>
      <c r="I26" s="43">
        <v>15.8</v>
      </c>
      <c r="J26" s="43">
        <v>1.6</v>
      </c>
      <c r="K26" s="43">
        <v>2264</v>
      </c>
    </row>
    <row r="27" spans="2:11">
      <c r="B27" s="8" t="s">
        <v>215</v>
      </c>
      <c r="C27" s="43">
        <v>0.2</v>
      </c>
      <c r="D27" s="43">
        <v>44.1</v>
      </c>
      <c r="E27" s="43">
        <v>135.6</v>
      </c>
      <c r="F27" s="43">
        <v>119.6</v>
      </c>
      <c r="G27" s="43">
        <v>79.2</v>
      </c>
      <c r="H27" s="43">
        <v>42.3</v>
      </c>
      <c r="I27" s="43">
        <v>14</v>
      </c>
      <c r="J27" s="43">
        <v>1.3</v>
      </c>
      <c r="K27" s="43">
        <v>2181.5</v>
      </c>
    </row>
    <row r="28" spans="2:11">
      <c r="B28" s="11"/>
      <c r="C28" s="43"/>
      <c r="D28" s="43"/>
      <c r="E28" s="43"/>
      <c r="F28" s="43"/>
      <c r="G28" s="43"/>
      <c r="H28" s="43"/>
      <c r="I28" s="43"/>
      <c r="J28" s="43"/>
      <c r="K28" s="43"/>
    </row>
    <row r="29" spans="2:11">
      <c r="B29" s="8" t="s">
        <v>162</v>
      </c>
      <c r="C29" s="43">
        <v>0.2</v>
      </c>
      <c r="D29" s="43">
        <v>44.9</v>
      </c>
      <c r="E29" s="43">
        <v>142.80000000000001</v>
      </c>
      <c r="F29" s="43">
        <v>126.8</v>
      </c>
      <c r="G29" s="43">
        <v>81.5</v>
      </c>
      <c r="H29" s="43">
        <v>42.8</v>
      </c>
      <c r="I29" s="43">
        <v>13.7</v>
      </c>
      <c r="J29" s="43">
        <v>1.2</v>
      </c>
      <c r="K29" s="43">
        <v>2269.5</v>
      </c>
    </row>
    <row r="30" spans="2:11">
      <c r="B30" s="8" t="s">
        <v>216</v>
      </c>
      <c r="C30" s="43">
        <v>0.2</v>
      </c>
      <c r="D30" s="43">
        <v>48.1</v>
      </c>
      <c r="E30" s="43">
        <v>157.80000000000001</v>
      </c>
      <c r="F30" s="43">
        <v>137.1</v>
      </c>
      <c r="G30" s="43">
        <v>81.599999999999994</v>
      </c>
      <c r="H30" s="43">
        <v>42.5</v>
      </c>
      <c r="I30" s="43">
        <v>13.2</v>
      </c>
      <c r="J30" s="43">
        <v>1.2</v>
      </c>
      <c r="K30" s="43">
        <v>2408.5</v>
      </c>
    </row>
    <row r="31" spans="2:11">
      <c r="B31" s="8" t="s">
        <v>217</v>
      </c>
      <c r="C31" s="43">
        <v>0.3</v>
      </c>
      <c r="D31" s="43">
        <v>54.5</v>
      </c>
      <c r="E31" s="43">
        <v>186.6</v>
      </c>
      <c r="F31" s="43">
        <v>155.30000000000001</v>
      </c>
      <c r="G31" s="43">
        <v>89.9</v>
      </c>
      <c r="H31" s="43">
        <v>44.7</v>
      </c>
      <c r="I31" s="43">
        <v>13.4</v>
      </c>
      <c r="J31" s="43">
        <v>1.2</v>
      </c>
      <c r="K31" s="43">
        <v>2729.5</v>
      </c>
    </row>
    <row r="32" spans="2:11">
      <c r="B32" s="8" t="s">
        <v>218</v>
      </c>
      <c r="C32" s="43">
        <v>0.3</v>
      </c>
      <c r="D32" s="43">
        <v>51.6</v>
      </c>
      <c r="E32" s="43">
        <v>175.1</v>
      </c>
      <c r="F32" s="43">
        <v>159</v>
      </c>
      <c r="G32" s="43">
        <v>97.1</v>
      </c>
      <c r="H32" s="43">
        <v>48.6</v>
      </c>
      <c r="I32" s="43">
        <v>14.1</v>
      </c>
      <c r="J32" s="43">
        <v>1.1000000000000001</v>
      </c>
      <c r="K32" s="43">
        <v>2734.5</v>
      </c>
    </row>
    <row r="33" spans="2:11">
      <c r="B33" s="8" t="s">
        <v>219</v>
      </c>
      <c r="C33" s="43">
        <v>0.3</v>
      </c>
      <c r="D33" s="43">
        <v>44.1</v>
      </c>
      <c r="E33" s="43">
        <v>150.5</v>
      </c>
      <c r="F33" s="43">
        <v>138.5</v>
      </c>
      <c r="G33" s="43">
        <v>93.2</v>
      </c>
      <c r="H33" s="43">
        <v>50.6</v>
      </c>
      <c r="I33" s="43">
        <v>14.3</v>
      </c>
      <c r="J33" s="43">
        <v>1</v>
      </c>
      <c r="K33" s="43">
        <v>2462.5</v>
      </c>
    </row>
    <row r="34" spans="2:11">
      <c r="B34" s="8" t="s">
        <v>220</v>
      </c>
      <c r="C34" s="43">
        <v>0.3</v>
      </c>
      <c r="D34" s="43">
        <v>40.799999999999997</v>
      </c>
      <c r="E34" s="43">
        <v>135.5</v>
      </c>
      <c r="F34" s="43">
        <v>133.4</v>
      </c>
      <c r="G34" s="43">
        <v>98.5</v>
      </c>
      <c r="H34" s="43">
        <v>52.1</v>
      </c>
      <c r="I34" s="43">
        <v>15.4</v>
      </c>
      <c r="J34" s="43">
        <v>1.3</v>
      </c>
      <c r="K34" s="43">
        <v>2386.5</v>
      </c>
    </row>
    <row r="35" spans="2:11">
      <c r="B35" s="8" t="s">
        <v>221</v>
      </c>
      <c r="C35" s="43">
        <v>0.3</v>
      </c>
      <c r="D35" s="43">
        <v>48.3</v>
      </c>
      <c r="E35" s="43">
        <v>188.5</v>
      </c>
      <c r="F35" s="43">
        <v>165.3</v>
      </c>
      <c r="G35" s="43">
        <v>106.2</v>
      </c>
      <c r="H35" s="43">
        <v>53.8</v>
      </c>
      <c r="I35" s="43">
        <v>15.3</v>
      </c>
      <c r="J35" s="43">
        <v>1.2</v>
      </c>
      <c r="K35" s="43">
        <v>2894.5</v>
      </c>
    </row>
    <row r="36" spans="2:11">
      <c r="B36" s="8" t="s">
        <v>222</v>
      </c>
      <c r="C36" s="43">
        <v>0.4</v>
      </c>
      <c r="D36" s="43">
        <v>69.7</v>
      </c>
      <c r="E36" s="43">
        <v>227.3</v>
      </c>
      <c r="F36" s="43">
        <v>184.2</v>
      </c>
      <c r="G36" s="43">
        <v>108.4</v>
      </c>
      <c r="H36" s="43">
        <v>53.6</v>
      </c>
      <c r="I36" s="43">
        <v>15.4</v>
      </c>
      <c r="J36" s="43">
        <v>1</v>
      </c>
      <c r="K36" s="43">
        <v>3300</v>
      </c>
    </row>
    <row r="37" spans="2:11">
      <c r="B37" s="8" t="s">
        <v>223</v>
      </c>
      <c r="C37" s="43">
        <v>0.4</v>
      </c>
      <c r="D37" s="43">
        <v>73.2</v>
      </c>
      <c r="E37" s="43">
        <v>215.5</v>
      </c>
      <c r="F37" s="43">
        <v>170</v>
      </c>
      <c r="G37" s="43">
        <v>101.9</v>
      </c>
      <c r="H37" s="43">
        <v>49.8</v>
      </c>
      <c r="I37" s="43">
        <v>14.2</v>
      </c>
      <c r="J37" s="43">
        <v>1</v>
      </c>
      <c r="K37" s="43">
        <v>3130</v>
      </c>
    </row>
    <row r="38" spans="2:11">
      <c r="B38" s="8" t="s">
        <v>224</v>
      </c>
      <c r="C38" s="43">
        <v>0.5</v>
      </c>
      <c r="D38" s="43">
        <v>74.599999999999994</v>
      </c>
      <c r="E38" s="43">
        <v>214</v>
      </c>
      <c r="F38" s="43">
        <v>171.4</v>
      </c>
      <c r="G38" s="43">
        <v>102.5</v>
      </c>
      <c r="H38" s="43">
        <v>49.6</v>
      </c>
      <c r="I38" s="43">
        <v>14.1</v>
      </c>
      <c r="J38" s="43">
        <v>1</v>
      </c>
      <c r="K38" s="43">
        <v>3138.5</v>
      </c>
    </row>
    <row r="39" spans="2:11">
      <c r="B39" s="11"/>
      <c r="C39" s="43"/>
      <c r="D39" s="43"/>
      <c r="E39" s="43"/>
      <c r="F39" s="44"/>
      <c r="G39" s="44"/>
      <c r="H39" s="43"/>
      <c r="I39" s="43"/>
      <c r="J39" s="43"/>
      <c r="K39" s="43"/>
    </row>
    <row r="40" spans="2:11">
      <c r="B40" s="8" t="s">
        <v>163</v>
      </c>
      <c r="C40" s="43">
        <v>0.5</v>
      </c>
      <c r="D40" s="43">
        <v>74.599999999999994</v>
      </c>
      <c r="E40" s="43">
        <v>212</v>
      </c>
      <c r="F40" s="43">
        <v>175.5</v>
      </c>
      <c r="G40" s="43">
        <v>106.5</v>
      </c>
      <c r="H40" s="43">
        <v>52.3</v>
      </c>
      <c r="I40" s="43">
        <v>13.6</v>
      </c>
      <c r="J40" s="43">
        <v>0.9</v>
      </c>
      <c r="K40" s="43">
        <v>3179.5</v>
      </c>
    </row>
    <row r="41" spans="2:11">
      <c r="B41" s="8" t="s">
        <v>225</v>
      </c>
      <c r="C41" s="43">
        <v>0.4</v>
      </c>
      <c r="D41" s="43">
        <v>79.099999999999994</v>
      </c>
      <c r="E41" s="43">
        <v>229</v>
      </c>
      <c r="F41" s="43">
        <v>192.2</v>
      </c>
      <c r="G41" s="43">
        <v>114.4</v>
      </c>
      <c r="H41" s="43">
        <v>53.9</v>
      </c>
      <c r="I41" s="43">
        <v>14.1</v>
      </c>
      <c r="J41" s="43">
        <v>0.8</v>
      </c>
      <c r="K41" s="43">
        <v>3419.5</v>
      </c>
    </row>
    <row r="42" spans="2:11">
      <c r="B42" s="8" t="s">
        <v>226</v>
      </c>
      <c r="C42" s="43">
        <v>0.5</v>
      </c>
      <c r="D42" s="43">
        <v>73.5</v>
      </c>
      <c r="E42" s="43">
        <v>233</v>
      </c>
      <c r="F42" s="43">
        <v>202.5</v>
      </c>
      <c r="G42" s="43">
        <v>121.7</v>
      </c>
      <c r="H42" s="43">
        <v>56.1</v>
      </c>
      <c r="I42" s="43">
        <v>14.4</v>
      </c>
      <c r="J42" s="43">
        <v>1.1000000000000001</v>
      </c>
      <c r="K42" s="43">
        <v>3514</v>
      </c>
    </row>
    <row r="43" spans="2:11">
      <c r="B43" s="8" t="s">
        <v>227</v>
      </c>
      <c r="C43" s="43">
        <v>0.6</v>
      </c>
      <c r="D43" s="43">
        <v>76.8</v>
      </c>
      <c r="E43" s="43">
        <v>234.5</v>
      </c>
      <c r="F43" s="43">
        <v>207</v>
      </c>
      <c r="G43" s="43">
        <v>125.5</v>
      </c>
      <c r="H43" s="43">
        <v>58.7</v>
      </c>
      <c r="I43" s="43">
        <v>14.9</v>
      </c>
      <c r="J43" s="43">
        <v>0.9</v>
      </c>
      <c r="K43" s="43">
        <v>3594.5</v>
      </c>
    </row>
    <row r="44" spans="2:11">
      <c r="B44" s="8" t="s">
        <v>228</v>
      </c>
      <c r="C44" s="43">
        <v>0.7</v>
      </c>
      <c r="D44" s="43">
        <v>82.8</v>
      </c>
      <c r="E44" s="43">
        <v>246.8</v>
      </c>
      <c r="F44" s="43">
        <v>214.1</v>
      </c>
      <c r="G44" s="43">
        <v>133.1</v>
      </c>
      <c r="H44" s="43">
        <v>61.8</v>
      </c>
      <c r="I44" s="43">
        <v>15.6</v>
      </c>
      <c r="J44" s="43">
        <v>1.1000000000000001</v>
      </c>
      <c r="K44" s="43">
        <v>3780</v>
      </c>
    </row>
    <row r="45" spans="2:11">
      <c r="B45" s="8" t="s">
        <v>229</v>
      </c>
      <c r="C45" s="43">
        <v>0.6</v>
      </c>
      <c r="D45" s="43">
        <v>84.1</v>
      </c>
      <c r="E45" s="43">
        <v>253</v>
      </c>
      <c r="F45" s="43">
        <v>218.6</v>
      </c>
      <c r="G45" s="43">
        <v>135.4</v>
      </c>
      <c r="H45" s="43">
        <v>63.4</v>
      </c>
      <c r="I45" s="43">
        <v>16.399999999999999</v>
      </c>
      <c r="J45" s="43">
        <v>0.9</v>
      </c>
      <c r="K45" s="43">
        <v>3862</v>
      </c>
    </row>
    <row r="46" spans="2:11">
      <c r="B46" s="8" t="s">
        <v>230</v>
      </c>
      <c r="C46" s="43">
        <v>0.6</v>
      </c>
      <c r="D46" s="43">
        <v>87.2</v>
      </c>
      <c r="E46" s="43">
        <v>272.39999999999998</v>
      </c>
      <c r="F46" s="43">
        <v>228.9</v>
      </c>
      <c r="G46" s="43">
        <v>138</v>
      </c>
      <c r="H46" s="43">
        <v>65</v>
      </c>
      <c r="I46" s="43">
        <v>17.399999999999999</v>
      </c>
      <c r="J46" s="43">
        <v>0.8</v>
      </c>
      <c r="K46" s="43">
        <v>4051.5</v>
      </c>
    </row>
    <row r="47" spans="2:11">
      <c r="B47" s="8" t="s">
        <v>231</v>
      </c>
      <c r="C47" s="43">
        <v>0.6</v>
      </c>
      <c r="D47" s="43">
        <v>88.6</v>
      </c>
      <c r="E47" s="43">
        <v>277.10000000000002</v>
      </c>
      <c r="F47" s="43">
        <v>231.8</v>
      </c>
      <c r="G47" s="43">
        <v>137.6</v>
      </c>
      <c r="H47" s="43">
        <v>66.400000000000006</v>
      </c>
      <c r="I47" s="43">
        <v>17</v>
      </c>
      <c r="J47" s="43">
        <v>0.9</v>
      </c>
      <c r="K47" s="43">
        <v>4100</v>
      </c>
    </row>
    <row r="48" spans="2:11">
      <c r="B48" s="8" t="s">
        <v>232</v>
      </c>
      <c r="C48" s="43">
        <v>0.6</v>
      </c>
      <c r="D48" s="43">
        <v>83.6</v>
      </c>
      <c r="E48" s="43">
        <v>273.39999999999998</v>
      </c>
      <c r="F48" s="43">
        <v>221.5</v>
      </c>
      <c r="G48" s="43">
        <v>134.30000000000001</v>
      </c>
      <c r="H48" s="43">
        <v>65</v>
      </c>
      <c r="I48" s="43">
        <v>17.2</v>
      </c>
      <c r="J48" s="43">
        <v>0.9</v>
      </c>
      <c r="K48" s="43">
        <v>3982.5</v>
      </c>
    </row>
    <row r="49" spans="2:11">
      <c r="B49" s="8" t="s">
        <v>233</v>
      </c>
      <c r="C49" s="43">
        <v>0.6</v>
      </c>
      <c r="D49" s="43">
        <v>77.599999999999994</v>
      </c>
      <c r="E49" s="43">
        <v>273.3</v>
      </c>
      <c r="F49" s="43">
        <v>217.4</v>
      </c>
      <c r="G49" s="43">
        <v>128.6</v>
      </c>
      <c r="H49" s="43">
        <v>64.400000000000006</v>
      </c>
      <c r="I49" s="43">
        <v>17.3</v>
      </c>
      <c r="J49" s="43">
        <v>0.9</v>
      </c>
      <c r="K49" s="43">
        <v>3900.5</v>
      </c>
    </row>
    <row r="50" spans="2:11">
      <c r="B50" s="8"/>
      <c r="C50" s="43"/>
      <c r="D50" s="43"/>
      <c r="E50" s="43"/>
      <c r="F50" s="43"/>
      <c r="G50" s="43"/>
      <c r="H50" s="43"/>
      <c r="I50" s="43"/>
      <c r="J50" s="43"/>
      <c r="K50" s="43"/>
    </row>
    <row r="51" spans="2:11">
      <c r="B51" s="8" t="s">
        <v>164</v>
      </c>
      <c r="C51" s="43">
        <v>0.5</v>
      </c>
      <c r="D51" s="43">
        <v>79.3</v>
      </c>
      <c r="E51" s="43">
        <v>273.10000000000002</v>
      </c>
      <c r="F51" s="43">
        <v>213</v>
      </c>
      <c r="G51" s="43">
        <v>121.8</v>
      </c>
      <c r="H51" s="43">
        <v>61.4</v>
      </c>
      <c r="I51" s="43">
        <v>16.600000000000001</v>
      </c>
      <c r="J51" s="43">
        <v>0.9</v>
      </c>
      <c r="K51" s="43">
        <v>3833</v>
      </c>
    </row>
    <row r="52" spans="2:11">
      <c r="B52" s="8" t="s">
        <v>234</v>
      </c>
      <c r="C52" s="43">
        <v>0.6</v>
      </c>
      <c r="D52" s="43">
        <v>78.099999999999994</v>
      </c>
      <c r="E52" s="43">
        <v>252</v>
      </c>
      <c r="F52" s="43">
        <v>200.7</v>
      </c>
      <c r="G52" s="43">
        <v>120.2</v>
      </c>
      <c r="H52" s="43">
        <v>61.3</v>
      </c>
      <c r="I52" s="43">
        <v>16.8</v>
      </c>
      <c r="J52" s="43">
        <v>0.9</v>
      </c>
      <c r="K52" s="43">
        <v>3653</v>
      </c>
    </row>
    <row r="53" spans="2:11">
      <c r="B53" s="8" t="s">
        <v>235</v>
      </c>
      <c r="C53" s="43">
        <v>0.7</v>
      </c>
      <c r="D53" s="43">
        <v>70.7</v>
      </c>
      <c r="E53" s="43">
        <v>231.5</v>
      </c>
      <c r="F53" s="43">
        <v>183.9</v>
      </c>
      <c r="G53" s="43">
        <v>111.4</v>
      </c>
      <c r="H53" s="43">
        <v>58.9</v>
      </c>
      <c r="I53" s="43">
        <v>16.3</v>
      </c>
      <c r="J53" s="43">
        <v>0.9</v>
      </c>
      <c r="K53" s="43">
        <v>3371.5</v>
      </c>
    </row>
    <row r="54" spans="2:11">
      <c r="B54" s="8" t="s">
        <v>236</v>
      </c>
      <c r="C54" s="43">
        <v>0.5</v>
      </c>
      <c r="D54" s="43">
        <v>64.599999999999994</v>
      </c>
      <c r="E54" s="43">
        <v>222.5</v>
      </c>
      <c r="F54" s="43">
        <v>175.9</v>
      </c>
      <c r="G54" s="43">
        <v>107</v>
      </c>
      <c r="H54" s="43">
        <v>55.9</v>
      </c>
      <c r="I54" s="43">
        <v>16.600000000000001</v>
      </c>
      <c r="J54" s="43">
        <v>0.9</v>
      </c>
      <c r="K54" s="43">
        <v>3219.5</v>
      </c>
    </row>
    <row r="55" spans="2:11">
      <c r="B55" s="8" t="s">
        <v>237</v>
      </c>
      <c r="C55" s="43">
        <v>0.6</v>
      </c>
      <c r="D55" s="43">
        <v>64.2</v>
      </c>
      <c r="E55" s="43">
        <v>210.1</v>
      </c>
      <c r="F55" s="43">
        <v>167</v>
      </c>
      <c r="G55" s="43">
        <v>101</v>
      </c>
      <c r="H55" s="43">
        <v>54.4</v>
      </c>
      <c r="I55" s="43">
        <v>15.8</v>
      </c>
      <c r="J55" s="43">
        <v>0.9</v>
      </c>
      <c r="K55" s="43">
        <v>3070</v>
      </c>
    </row>
    <row r="56" spans="2:11">
      <c r="B56" s="8" t="s">
        <v>238</v>
      </c>
      <c r="C56" s="43">
        <v>0.6</v>
      </c>
      <c r="D56" s="43">
        <v>67.400000000000006</v>
      </c>
      <c r="E56" s="43">
        <v>192</v>
      </c>
      <c r="F56" s="43">
        <v>149</v>
      </c>
      <c r="G56" s="43">
        <v>91.2</v>
      </c>
      <c r="H56" s="43">
        <v>51.5</v>
      </c>
      <c r="I56" s="43">
        <v>14.7</v>
      </c>
      <c r="J56" s="43">
        <v>0.8</v>
      </c>
      <c r="K56" s="43">
        <v>2836</v>
      </c>
    </row>
    <row r="57" spans="2:11">
      <c r="B57" s="8" t="s">
        <v>239</v>
      </c>
      <c r="C57" s="43">
        <v>0.7</v>
      </c>
      <c r="D57" s="43">
        <v>75.400000000000006</v>
      </c>
      <c r="E57" s="43">
        <v>187.9</v>
      </c>
      <c r="F57" s="43">
        <v>140.69999999999999</v>
      </c>
      <c r="G57" s="43">
        <v>82.1</v>
      </c>
      <c r="H57" s="43">
        <v>45.8</v>
      </c>
      <c r="I57" s="43">
        <v>13.4</v>
      </c>
      <c r="J57" s="43">
        <v>0.9</v>
      </c>
      <c r="K57" s="43">
        <v>2734.5</v>
      </c>
    </row>
    <row r="58" spans="2:11">
      <c r="B58" s="8" t="s">
        <v>240</v>
      </c>
      <c r="C58" s="43">
        <v>0.7</v>
      </c>
      <c r="D58" s="43">
        <v>69</v>
      </c>
      <c r="E58" s="43">
        <v>182.8</v>
      </c>
      <c r="F58" s="43">
        <v>140.80000000000001</v>
      </c>
      <c r="G58" s="43">
        <v>77.599999999999994</v>
      </c>
      <c r="H58" s="43">
        <v>41.2</v>
      </c>
      <c r="I58" s="43">
        <v>11.5</v>
      </c>
      <c r="J58" s="43">
        <v>0.7</v>
      </c>
      <c r="K58" s="43">
        <v>2621.5</v>
      </c>
    </row>
    <row r="59" spans="2:11">
      <c r="B59" s="8" t="s">
        <v>241</v>
      </c>
      <c r="C59" s="43">
        <v>0.9</v>
      </c>
      <c r="D59" s="43">
        <v>64.3</v>
      </c>
      <c r="E59" s="43">
        <v>171.5</v>
      </c>
      <c r="F59" s="43">
        <v>143.19999999999999</v>
      </c>
      <c r="G59" s="43">
        <v>73.400000000000006</v>
      </c>
      <c r="H59" s="43">
        <v>36.299999999999997</v>
      </c>
      <c r="I59" s="43">
        <v>10.199999999999999</v>
      </c>
      <c r="J59" s="43">
        <v>0.6</v>
      </c>
      <c r="K59" s="43">
        <v>2502</v>
      </c>
    </row>
    <row r="60" spans="2:11">
      <c r="B60" s="8" t="s">
        <v>242</v>
      </c>
      <c r="C60" s="43">
        <v>0.9</v>
      </c>
      <c r="D60" s="43">
        <v>66</v>
      </c>
      <c r="E60" s="43">
        <v>174.2</v>
      </c>
      <c r="F60" s="43">
        <v>150.80000000000001</v>
      </c>
      <c r="G60" s="43">
        <v>73.8</v>
      </c>
      <c r="H60" s="43">
        <v>33.1</v>
      </c>
      <c r="I60" s="43">
        <v>9.1</v>
      </c>
      <c r="J60" s="43">
        <v>0.5</v>
      </c>
      <c r="K60" s="43">
        <v>2542</v>
      </c>
    </row>
    <row r="61" spans="2:11">
      <c r="B61" s="11"/>
      <c r="C61" s="43"/>
      <c r="D61" s="43"/>
      <c r="E61" s="43"/>
      <c r="F61" s="43"/>
      <c r="G61" s="44"/>
      <c r="H61" s="43"/>
      <c r="I61" s="43"/>
      <c r="J61" s="43"/>
      <c r="K61" s="43"/>
    </row>
    <row r="62" spans="2:11">
      <c r="B62" s="8" t="s">
        <v>165</v>
      </c>
      <c r="C62" s="43">
        <v>1</v>
      </c>
      <c r="D62" s="43">
        <v>68.2</v>
      </c>
      <c r="E62" s="43">
        <v>176</v>
      </c>
      <c r="F62" s="43">
        <v>154</v>
      </c>
      <c r="G62" s="43">
        <v>76.099999999999994</v>
      </c>
      <c r="H62" s="43">
        <v>32.4</v>
      </c>
      <c r="I62" s="43">
        <v>8.3000000000000007</v>
      </c>
      <c r="J62" s="43">
        <v>0.4</v>
      </c>
      <c r="K62" s="43">
        <v>2582</v>
      </c>
    </row>
    <row r="63" spans="2:11">
      <c r="B63" s="8" t="s">
        <v>243</v>
      </c>
      <c r="C63" s="43">
        <v>1</v>
      </c>
      <c r="D63" s="43">
        <v>63.6</v>
      </c>
      <c r="E63" s="43">
        <v>157.30000000000001</v>
      </c>
      <c r="F63" s="43">
        <v>142.4</v>
      </c>
      <c r="G63" s="43">
        <v>71.2</v>
      </c>
      <c r="H63" s="43">
        <v>29</v>
      </c>
      <c r="I63" s="43">
        <v>7.4</v>
      </c>
      <c r="J63" s="43">
        <v>0.4</v>
      </c>
      <c r="K63" s="43">
        <v>2361.5</v>
      </c>
    </row>
    <row r="64" spans="2:11">
      <c r="B64" s="8" t="s">
        <v>244</v>
      </c>
      <c r="C64" s="43">
        <v>1.1000000000000001</v>
      </c>
      <c r="D64" s="43">
        <v>61.6</v>
      </c>
      <c r="E64" s="43">
        <v>137.4</v>
      </c>
      <c r="F64" s="43">
        <v>122.7</v>
      </c>
      <c r="G64" s="43">
        <v>60.8</v>
      </c>
      <c r="H64" s="43">
        <v>24.2</v>
      </c>
      <c r="I64" s="43">
        <v>6.1</v>
      </c>
      <c r="J64" s="43">
        <v>0.4</v>
      </c>
      <c r="K64" s="43">
        <v>2071.5</v>
      </c>
    </row>
    <row r="65" spans="2:11">
      <c r="B65" s="8" t="s">
        <v>245</v>
      </c>
      <c r="C65" s="43">
        <v>1.2</v>
      </c>
      <c r="D65" s="43">
        <v>59.9</v>
      </c>
      <c r="E65" s="43">
        <v>128</v>
      </c>
      <c r="F65" s="43">
        <v>117.3</v>
      </c>
      <c r="G65" s="43">
        <v>55.2</v>
      </c>
      <c r="H65" s="43">
        <v>21.5</v>
      </c>
      <c r="I65" s="43">
        <v>5.0999999999999996</v>
      </c>
      <c r="J65" s="43">
        <v>0.2</v>
      </c>
      <c r="K65" s="43">
        <v>1942</v>
      </c>
    </row>
    <row r="66" spans="2:11">
      <c r="B66" s="8" t="s">
        <v>246</v>
      </c>
      <c r="C66" s="43">
        <v>1.1000000000000001</v>
      </c>
      <c r="D66" s="43">
        <v>55.3</v>
      </c>
      <c r="E66" s="43">
        <v>122.3</v>
      </c>
      <c r="F66" s="43">
        <v>113.7</v>
      </c>
      <c r="G66" s="43">
        <v>52.4</v>
      </c>
      <c r="H66" s="43">
        <v>17.7</v>
      </c>
      <c r="I66" s="43">
        <v>4.4000000000000004</v>
      </c>
      <c r="J66" s="43">
        <v>0.2</v>
      </c>
      <c r="K66" s="43">
        <v>1835.5</v>
      </c>
    </row>
    <row r="67" spans="2:11">
      <c r="B67" s="8" t="s">
        <v>247</v>
      </c>
      <c r="C67" s="43">
        <v>1</v>
      </c>
      <c r="D67" s="43">
        <v>52</v>
      </c>
      <c r="E67" s="43">
        <v>116.8</v>
      </c>
      <c r="F67" s="43">
        <v>109.3</v>
      </c>
      <c r="G67" s="43">
        <v>49.6</v>
      </c>
      <c r="H67" s="43">
        <v>17.5</v>
      </c>
      <c r="I67" s="43">
        <v>4.2</v>
      </c>
      <c r="J67" s="43">
        <v>0.2</v>
      </c>
      <c r="K67" s="43">
        <v>1753</v>
      </c>
    </row>
    <row r="68" spans="2:11">
      <c r="B68" s="8" t="s">
        <v>248</v>
      </c>
      <c r="C68" s="43">
        <v>0.9</v>
      </c>
      <c r="D68" s="43">
        <v>48</v>
      </c>
      <c r="E68" s="43">
        <v>111</v>
      </c>
      <c r="F68" s="43">
        <v>107.5</v>
      </c>
      <c r="G68" s="43">
        <v>49.1</v>
      </c>
      <c r="H68" s="43">
        <v>16.3</v>
      </c>
      <c r="I68" s="43">
        <v>3.4</v>
      </c>
      <c r="J68" s="43">
        <v>0.2</v>
      </c>
      <c r="K68" s="43">
        <v>1682</v>
      </c>
    </row>
    <row r="69" spans="2:11">
      <c r="B69" s="8" t="s">
        <v>249</v>
      </c>
      <c r="C69" s="43">
        <v>1</v>
      </c>
      <c r="D69" s="43">
        <v>48.4</v>
      </c>
      <c r="E69" s="43">
        <v>114.3</v>
      </c>
      <c r="F69" s="43">
        <v>112.7</v>
      </c>
      <c r="G69" s="43">
        <v>52.9</v>
      </c>
      <c r="H69" s="43">
        <v>16.3</v>
      </c>
      <c r="I69" s="43">
        <v>3.3</v>
      </c>
      <c r="J69" s="43">
        <v>0.2</v>
      </c>
      <c r="K69" s="43">
        <v>1745.5</v>
      </c>
    </row>
    <row r="70" spans="2:11">
      <c r="B70" s="8" t="s">
        <v>250</v>
      </c>
      <c r="C70" s="43">
        <v>0.8</v>
      </c>
      <c r="D70" s="43">
        <v>46.5</v>
      </c>
      <c r="E70" s="43">
        <v>111.5</v>
      </c>
      <c r="F70" s="43">
        <v>111.6</v>
      </c>
      <c r="G70" s="43">
        <v>54.5</v>
      </c>
      <c r="H70" s="43">
        <v>16.8</v>
      </c>
      <c r="I70" s="43">
        <v>3.1</v>
      </c>
      <c r="J70" s="43">
        <v>0.2</v>
      </c>
      <c r="K70" s="43">
        <v>1725</v>
      </c>
    </row>
    <row r="71" spans="2:11">
      <c r="B71" s="8" t="s">
        <v>251</v>
      </c>
      <c r="C71" s="43">
        <v>0.9</v>
      </c>
      <c r="D71" s="43">
        <v>46.7</v>
      </c>
      <c r="E71" s="43">
        <v>114</v>
      </c>
      <c r="F71" s="43">
        <v>114.9</v>
      </c>
      <c r="G71" s="43">
        <v>57</v>
      </c>
      <c r="H71" s="43">
        <v>16.8</v>
      </c>
      <c r="I71" s="43">
        <v>3</v>
      </c>
      <c r="J71" s="43">
        <v>0.2</v>
      </c>
      <c r="K71" s="43">
        <v>1767.5</v>
      </c>
    </row>
    <row r="72" spans="2:11">
      <c r="B72" s="11"/>
      <c r="C72" s="43"/>
      <c r="D72" s="43"/>
      <c r="E72" s="43"/>
      <c r="F72" s="43"/>
      <c r="G72" s="43"/>
      <c r="H72" s="43"/>
      <c r="I72" s="43"/>
      <c r="J72" s="43"/>
      <c r="K72" s="43"/>
    </row>
    <row r="73" spans="2:11">
      <c r="B73" s="8" t="s">
        <v>166</v>
      </c>
      <c r="C73" s="43">
        <v>0.8</v>
      </c>
      <c r="D73" s="43">
        <v>45.1</v>
      </c>
      <c r="E73" s="43">
        <v>113.4</v>
      </c>
      <c r="F73" s="43">
        <v>115.3</v>
      </c>
      <c r="G73" s="43">
        <v>58</v>
      </c>
      <c r="H73" s="43">
        <v>16.3</v>
      </c>
      <c r="I73" s="43">
        <v>3.1</v>
      </c>
      <c r="J73" s="43">
        <v>0.1</v>
      </c>
      <c r="K73" s="43">
        <v>1760.5</v>
      </c>
    </row>
    <row r="74" spans="2:11">
      <c r="B74" s="8" t="s">
        <v>252</v>
      </c>
      <c r="C74" s="43">
        <v>0.8</v>
      </c>
      <c r="D74" s="43">
        <v>43</v>
      </c>
      <c r="E74" s="43">
        <v>107.1</v>
      </c>
      <c r="F74" s="43">
        <v>113.9</v>
      </c>
      <c r="G74" s="43">
        <v>58.9</v>
      </c>
      <c r="H74" s="43">
        <v>16.399999999999999</v>
      </c>
      <c r="I74" s="43">
        <v>2.9</v>
      </c>
      <c r="J74" s="43">
        <v>0.2</v>
      </c>
      <c r="K74" s="43">
        <v>1716</v>
      </c>
    </row>
    <row r="75" spans="2:11">
      <c r="B75" s="8" t="s">
        <v>253</v>
      </c>
      <c r="C75" s="43">
        <v>0.8</v>
      </c>
      <c r="D75" s="43">
        <v>42.4</v>
      </c>
      <c r="E75" s="43">
        <v>105</v>
      </c>
      <c r="F75" s="43">
        <v>112.4</v>
      </c>
      <c r="G75" s="43">
        <v>61.1</v>
      </c>
      <c r="H75" s="43">
        <v>17.8</v>
      </c>
      <c r="I75" s="43">
        <v>2.9</v>
      </c>
      <c r="J75" s="43">
        <v>0.1</v>
      </c>
      <c r="K75" s="43">
        <v>1712.5</v>
      </c>
    </row>
    <row r="76" spans="2:11">
      <c r="B76" s="8" t="s">
        <v>254</v>
      </c>
      <c r="C76" s="43">
        <v>0.9</v>
      </c>
      <c r="D76" s="43">
        <v>42.3</v>
      </c>
      <c r="E76" s="43">
        <v>99.5</v>
      </c>
      <c r="F76" s="43">
        <v>109.8</v>
      </c>
      <c r="G76" s="43">
        <v>60.9</v>
      </c>
      <c r="H76" s="43">
        <v>18.399999999999999</v>
      </c>
      <c r="I76" s="43">
        <v>3.1</v>
      </c>
      <c r="J76" s="43">
        <v>0.2</v>
      </c>
      <c r="K76" s="43">
        <v>1675.5</v>
      </c>
    </row>
    <row r="77" spans="2:11">
      <c r="B77" s="8" t="s">
        <v>255</v>
      </c>
      <c r="C77" s="43">
        <v>1</v>
      </c>
      <c r="D77" s="43">
        <v>43.2</v>
      </c>
      <c r="E77" s="43">
        <v>100.4</v>
      </c>
      <c r="F77" s="43">
        <v>111.3</v>
      </c>
      <c r="G77" s="43">
        <v>64.900000000000006</v>
      </c>
      <c r="H77" s="43">
        <v>19.600000000000001</v>
      </c>
      <c r="I77" s="43">
        <v>2.9</v>
      </c>
      <c r="J77" s="43">
        <v>0.1</v>
      </c>
      <c r="K77" s="43">
        <v>1717</v>
      </c>
    </row>
    <row r="78" spans="2:11">
      <c r="B78" s="8" t="s">
        <v>256</v>
      </c>
      <c r="C78" s="43">
        <v>1</v>
      </c>
      <c r="D78" s="43">
        <v>43.4</v>
      </c>
      <c r="E78" s="43">
        <v>101</v>
      </c>
      <c r="F78" s="43">
        <v>113.9</v>
      </c>
      <c r="G78" s="43">
        <v>66.5</v>
      </c>
      <c r="H78" s="43">
        <v>20.5</v>
      </c>
      <c r="I78" s="43">
        <v>3.1</v>
      </c>
      <c r="J78" s="43">
        <v>0.2</v>
      </c>
      <c r="K78" s="43">
        <v>1748</v>
      </c>
    </row>
    <row r="79" spans="2:11">
      <c r="B79" s="8" t="s">
        <v>257</v>
      </c>
      <c r="C79" s="43">
        <v>1</v>
      </c>
      <c r="D79" s="43">
        <v>43.9</v>
      </c>
      <c r="E79" s="43">
        <v>99.9</v>
      </c>
      <c r="F79" s="43">
        <v>111.9</v>
      </c>
      <c r="G79" s="43">
        <v>67.3</v>
      </c>
      <c r="H79" s="43">
        <v>21</v>
      </c>
      <c r="I79" s="43">
        <v>3</v>
      </c>
      <c r="J79" s="43">
        <v>0.2</v>
      </c>
      <c r="K79" s="43">
        <v>1741</v>
      </c>
    </row>
    <row r="80" spans="2:11">
      <c r="B80" s="8" t="s">
        <v>258</v>
      </c>
      <c r="C80" s="43">
        <v>1</v>
      </c>
      <c r="D80" s="43">
        <v>45.5</v>
      </c>
      <c r="E80" s="43">
        <v>101.8</v>
      </c>
      <c r="F80" s="43">
        <v>114.5</v>
      </c>
      <c r="G80" s="43">
        <v>69.2</v>
      </c>
      <c r="H80" s="43">
        <v>22.4</v>
      </c>
      <c r="I80" s="43">
        <v>3.2</v>
      </c>
      <c r="J80" s="43">
        <v>0.2</v>
      </c>
      <c r="K80" s="43">
        <v>1789</v>
      </c>
    </row>
    <row r="81" spans="2:11">
      <c r="B81" s="8" t="s">
        <v>259</v>
      </c>
      <c r="C81" s="43">
        <v>1.2</v>
      </c>
      <c r="D81" s="43">
        <v>46.7</v>
      </c>
      <c r="E81" s="43">
        <v>100.6</v>
      </c>
      <c r="F81" s="43">
        <v>113.9</v>
      </c>
      <c r="G81" s="43">
        <v>69.7</v>
      </c>
      <c r="H81" s="43">
        <v>23.4</v>
      </c>
      <c r="I81" s="43">
        <v>3.5</v>
      </c>
      <c r="J81" s="43">
        <v>0.2</v>
      </c>
      <c r="K81" s="43">
        <v>1796</v>
      </c>
    </row>
    <row r="82" spans="2:11">
      <c r="B82" s="8" t="s">
        <v>260</v>
      </c>
      <c r="C82" s="43">
        <v>1.2</v>
      </c>
      <c r="D82" s="43">
        <v>54.3</v>
      </c>
      <c r="E82" s="43">
        <v>108.9</v>
      </c>
      <c r="F82" s="43">
        <v>121.2</v>
      </c>
      <c r="G82" s="43">
        <v>73.900000000000006</v>
      </c>
      <c r="H82" s="43">
        <v>25.7</v>
      </c>
      <c r="I82" s="43">
        <v>3.7</v>
      </c>
      <c r="J82" s="43">
        <v>0.2</v>
      </c>
      <c r="K82" s="43">
        <v>1945.5</v>
      </c>
    </row>
    <row r="83" spans="2:11">
      <c r="B83" s="11"/>
      <c r="C83" s="43"/>
      <c r="D83" s="43"/>
      <c r="E83" s="43"/>
      <c r="F83" s="43"/>
      <c r="G83" s="43"/>
      <c r="H83" s="43"/>
      <c r="I83" s="43"/>
      <c r="J83" s="43"/>
      <c r="K83" s="43"/>
    </row>
    <row r="84" spans="2:11">
      <c r="B84" s="8" t="s">
        <v>167</v>
      </c>
      <c r="C84" s="43">
        <v>1.3</v>
      </c>
      <c r="D84" s="43">
        <v>59.3</v>
      </c>
      <c r="E84" s="43">
        <v>111.8</v>
      </c>
      <c r="F84" s="43">
        <v>125.8</v>
      </c>
      <c r="G84" s="43">
        <v>77.5</v>
      </c>
      <c r="H84" s="43">
        <v>27.4</v>
      </c>
      <c r="I84" s="43">
        <v>4.0999999999999996</v>
      </c>
      <c r="J84" s="43">
        <v>0.2</v>
      </c>
      <c r="K84" s="43">
        <v>2037</v>
      </c>
    </row>
    <row r="85" spans="2:11">
      <c r="B85" s="8" t="s">
        <v>168</v>
      </c>
      <c r="C85" s="43">
        <v>1.2</v>
      </c>
      <c r="D85" s="43">
        <v>58.8</v>
      </c>
      <c r="E85" s="43">
        <v>108.3</v>
      </c>
      <c r="F85" s="43">
        <v>122.1</v>
      </c>
      <c r="G85" s="43">
        <v>76.900000000000006</v>
      </c>
      <c r="H85" s="43">
        <v>27.3</v>
      </c>
      <c r="I85" s="43">
        <v>4.0999999999999996</v>
      </c>
      <c r="J85" s="43">
        <v>0.1</v>
      </c>
      <c r="K85" s="43">
        <v>1994</v>
      </c>
    </row>
    <row r="86" spans="2:11">
      <c r="B86" s="8" t="s">
        <v>169</v>
      </c>
      <c r="C86" s="43">
        <v>1.1000000000000001</v>
      </c>
      <c r="D86" s="43">
        <v>57.2</v>
      </c>
      <c r="E86" s="43">
        <v>102.1</v>
      </c>
      <c r="F86" s="43">
        <v>116.6</v>
      </c>
      <c r="G86" s="43">
        <v>76.7</v>
      </c>
      <c r="H86" s="43">
        <v>27.9</v>
      </c>
      <c r="I86" s="43">
        <v>4.5</v>
      </c>
      <c r="J86" s="43">
        <v>0.2</v>
      </c>
      <c r="K86" s="43">
        <v>1931.5</v>
      </c>
    </row>
    <row r="87" spans="2:11">
      <c r="B87" s="8" t="s">
        <v>170</v>
      </c>
      <c r="C87" s="43">
        <v>1.1000000000000001</v>
      </c>
      <c r="D87" s="43">
        <v>54.2</v>
      </c>
      <c r="E87" s="43">
        <v>97.9</v>
      </c>
      <c r="F87" s="43">
        <v>113.2</v>
      </c>
      <c r="G87" s="43">
        <v>78.599999999999994</v>
      </c>
      <c r="H87" s="43">
        <v>28.6</v>
      </c>
      <c r="I87" s="43">
        <v>4.5</v>
      </c>
      <c r="J87" s="43">
        <v>0.2</v>
      </c>
      <c r="K87" s="43">
        <v>1891.5</v>
      </c>
    </row>
    <row r="88" spans="2:11">
      <c r="B88" s="8">
        <v>1994</v>
      </c>
      <c r="C88" s="43">
        <v>1.2</v>
      </c>
      <c r="D88" s="43">
        <v>53.4</v>
      </c>
      <c r="E88" s="43">
        <v>96.6</v>
      </c>
      <c r="F88" s="43">
        <v>111.5</v>
      </c>
      <c r="G88" s="43">
        <v>80.400000000000006</v>
      </c>
      <c r="H88" s="43">
        <v>29.1</v>
      </c>
      <c r="I88" s="43">
        <v>5</v>
      </c>
      <c r="J88" s="43">
        <v>0.2</v>
      </c>
      <c r="K88" s="43">
        <v>1887</v>
      </c>
    </row>
    <row r="89" spans="2:11">
      <c r="B89" s="8">
        <v>1995</v>
      </c>
      <c r="C89" s="43">
        <v>1.1000000000000001</v>
      </c>
      <c r="D89" s="43">
        <v>50.5</v>
      </c>
      <c r="E89" s="43">
        <v>93.6</v>
      </c>
      <c r="F89" s="43">
        <v>107.7</v>
      </c>
      <c r="G89" s="43">
        <v>80.8</v>
      </c>
      <c r="H89" s="43">
        <v>29.8</v>
      </c>
      <c r="I89" s="43">
        <v>5.4</v>
      </c>
      <c r="J89" s="43">
        <v>0.2</v>
      </c>
      <c r="K89" s="43">
        <v>1845.5</v>
      </c>
    </row>
    <row r="90" spans="2:11">
      <c r="B90" s="8">
        <v>1996</v>
      </c>
      <c r="C90" s="43">
        <v>1</v>
      </c>
      <c r="D90" s="43">
        <v>47.6</v>
      </c>
      <c r="E90" s="43">
        <v>94.5</v>
      </c>
      <c r="F90" s="43">
        <v>106.6</v>
      </c>
      <c r="G90" s="43">
        <v>82.4</v>
      </c>
      <c r="H90" s="43">
        <v>30.3</v>
      </c>
      <c r="I90" s="43">
        <v>5.6</v>
      </c>
      <c r="J90" s="43">
        <v>0.3</v>
      </c>
      <c r="K90" s="43">
        <v>1841.5</v>
      </c>
    </row>
    <row r="91" spans="2:11">
      <c r="B91" s="8">
        <v>1997</v>
      </c>
      <c r="C91" s="43">
        <v>0.8</v>
      </c>
      <c r="D91" s="43">
        <v>45.7</v>
      </c>
      <c r="E91" s="43">
        <v>96.8</v>
      </c>
      <c r="F91" s="43">
        <v>106.6</v>
      </c>
      <c r="G91" s="43">
        <v>84.3</v>
      </c>
      <c r="H91" s="43">
        <v>32.200000000000003</v>
      </c>
      <c r="I91" s="43">
        <v>5.6</v>
      </c>
      <c r="J91" s="43">
        <v>0.3</v>
      </c>
      <c r="K91" s="43">
        <v>1861.5</v>
      </c>
    </row>
    <row r="92" spans="2:11">
      <c r="B92" s="8">
        <v>1998</v>
      </c>
      <c r="C92" s="43">
        <v>0.7</v>
      </c>
      <c r="D92" s="43">
        <v>45</v>
      </c>
      <c r="E92" s="43">
        <v>97.6</v>
      </c>
      <c r="F92" s="43">
        <v>108.2</v>
      </c>
      <c r="G92" s="43">
        <v>85.7</v>
      </c>
      <c r="H92" s="43">
        <v>32.6</v>
      </c>
      <c r="I92" s="43">
        <v>6</v>
      </c>
      <c r="J92" s="43">
        <v>0.3</v>
      </c>
      <c r="K92" s="43">
        <v>1880.5</v>
      </c>
    </row>
    <row r="93" spans="2:11">
      <c r="B93" s="8">
        <v>1999</v>
      </c>
      <c r="C93" s="43">
        <v>0.8</v>
      </c>
      <c r="D93" s="43">
        <v>42.8</v>
      </c>
      <c r="E93" s="43">
        <v>99.2</v>
      </c>
      <c r="F93" s="43">
        <v>107.8</v>
      </c>
      <c r="G93" s="43">
        <v>87.9</v>
      </c>
      <c r="H93" s="43">
        <v>34</v>
      </c>
      <c r="I93" s="43">
        <v>5.9</v>
      </c>
      <c r="J93" s="43">
        <v>0.3</v>
      </c>
      <c r="K93" s="43">
        <v>1893.5</v>
      </c>
    </row>
    <row r="94" spans="2:11">
      <c r="B94" s="8"/>
      <c r="C94" s="43"/>
      <c r="D94" s="43"/>
      <c r="E94" s="43"/>
      <c r="F94" s="43"/>
      <c r="G94" s="43"/>
      <c r="H94" s="43"/>
      <c r="I94" s="43"/>
      <c r="J94" s="43"/>
      <c r="K94" s="43"/>
    </row>
    <row r="95" spans="2:11">
      <c r="B95" s="8">
        <v>2000</v>
      </c>
      <c r="C95" s="43">
        <v>0.6</v>
      </c>
      <c r="D95" s="43">
        <v>40.200000000000003</v>
      </c>
      <c r="E95" s="43">
        <v>102.5</v>
      </c>
      <c r="F95" s="43">
        <v>119.8</v>
      </c>
      <c r="G95" s="43">
        <v>91.7</v>
      </c>
      <c r="H95" s="43">
        <v>36.5</v>
      </c>
      <c r="I95" s="43">
        <v>6.3</v>
      </c>
      <c r="J95" s="43">
        <v>0.4</v>
      </c>
      <c r="K95" s="43">
        <v>1990</v>
      </c>
    </row>
    <row r="96" spans="2:11">
      <c r="B96" s="8">
        <v>2001</v>
      </c>
      <c r="C96" s="43">
        <v>0.6</v>
      </c>
      <c r="D96" s="43">
        <v>38.299999999999997</v>
      </c>
      <c r="E96" s="43">
        <v>97</v>
      </c>
      <c r="F96" s="43">
        <v>118.6</v>
      </c>
      <c r="G96" s="43">
        <v>92.7</v>
      </c>
      <c r="H96" s="43">
        <v>36.9</v>
      </c>
      <c r="I96" s="43">
        <v>6.6</v>
      </c>
      <c r="J96" s="43">
        <v>0.4</v>
      </c>
      <c r="K96" s="43">
        <v>1955.5</v>
      </c>
    </row>
    <row r="97" spans="2:11">
      <c r="B97" s="8">
        <v>2002</v>
      </c>
      <c r="C97" s="43">
        <v>0.6</v>
      </c>
      <c r="D97" s="43">
        <v>34.700000000000003</v>
      </c>
      <c r="E97" s="43">
        <v>92.8</v>
      </c>
      <c r="F97" s="43">
        <v>117.5</v>
      </c>
      <c r="G97" s="43">
        <v>92.4</v>
      </c>
      <c r="H97" s="43">
        <v>36.700000000000003</v>
      </c>
      <c r="I97" s="43">
        <v>6.5</v>
      </c>
      <c r="J97" s="43">
        <v>0.4</v>
      </c>
      <c r="K97" s="43">
        <v>1908</v>
      </c>
    </row>
    <row r="98" spans="2:11">
      <c r="B98" s="8">
        <v>2003</v>
      </c>
      <c r="C98" s="43">
        <v>0.5</v>
      </c>
      <c r="D98" s="43">
        <v>34.4</v>
      </c>
      <c r="E98" s="43">
        <v>91.8</v>
      </c>
      <c r="F98" s="43">
        <v>119.8</v>
      </c>
      <c r="G98" s="43">
        <v>94.4</v>
      </c>
      <c r="H98" s="43">
        <v>38.9</v>
      </c>
      <c r="I98" s="43">
        <v>7</v>
      </c>
      <c r="J98" s="43">
        <v>0.4</v>
      </c>
      <c r="K98" s="43">
        <v>1936</v>
      </c>
    </row>
    <row r="99" spans="2:11">
      <c r="B99" s="8">
        <v>2004</v>
      </c>
      <c r="C99" s="43">
        <v>0.6</v>
      </c>
      <c r="D99" s="43">
        <v>34.1</v>
      </c>
      <c r="E99" s="43">
        <v>90.2</v>
      </c>
      <c r="F99" s="43">
        <v>118.5</v>
      </c>
      <c r="G99" s="43">
        <v>94.3</v>
      </c>
      <c r="H99" s="43">
        <v>39.700000000000003</v>
      </c>
      <c r="I99" s="43">
        <v>7.3</v>
      </c>
      <c r="J99" s="43">
        <v>0.4</v>
      </c>
      <c r="K99" s="43">
        <v>1925.5</v>
      </c>
    </row>
    <row r="100" spans="2:11">
      <c r="B100" s="8">
        <v>2005</v>
      </c>
      <c r="C100" s="43">
        <v>0.6</v>
      </c>
      <c r="D100" s="43">
        <v>32.4</v>
      </c>
      <c r="E100" s="43">
        <v>90.1</v>
      </c>
      <c r="F100" s="43">
        <v>116.6</v>
      </c>
      <c r="G100" s="43">
        <v>93.8</v>
      </c>
      <c r="H100" s="43">
        <v>39.700000000000003</v>
      </c>
      <c r="I100" s="43">
        <v>7.5</v>
      </c>
      <c r="J100" s="43">
        <v>0.4</v>
      </c>
      <c r="K100" s="43">
        <v>1905.5</v>
      </c>
    </row>
    <row r="101" spans="2:11">
      <c r="B101" s="8">
        <v>2006</v>
      </c>
      <c r="C101" s="43">
        <v>0.5</v>
      </c>
      <c r="D101" s="43">
        <v>33.799999999999997</v>
      </c>
      <c r="E101" s="43">
        <v>91.4</v>
      </c>
      <c r="F101" s="43">
        <v>117.1</v>
      </c>
      <c r="G101" s="43">
        <v>96</v>
      </c>
      <c r="H101" s="43">
        <v>40.1</v>
      </c>
      <c r="I101" s="43">
        <v>7.2</v>
      </c>
      <c r="J101" s="43">
        <v>0.4</v>
      </c>
      <c r="K101" s="43">
        <v>1932.5</v>
      </c>
    </row>
    <row r="102" spans="2:11">
      <c r="B102" s="8">
        <v>2007</v>
      </c>
      <c r="C102" s="43">
        <v>0.5</v>
      </c>
      <c r="D102" s="43">
        <v>34.200000000000003</v>
      </c>
      <c r="E102" s="43">
        <v>89.8</v>
      </c>
      <c r="F102" s="43">
        <v>113.4</v>
      </c>
      <c r="G102" s="43">
        <v>96.4</v>
      </c>
      <c r="H102" s="43">
        <v>40</v>
      </c>
      <c r="I102" s="43">
        <v>7.3</v>
      </c>
      <c r="J102" s="43">
        <v>0.4</v>
      </c>
      <c r="K102" s="43">
        <v>1910</v>
      </c>
    </row>
    <row r="103" spans="2:11">
      <c r="B103" s="8">
        <v>2008</v>
      </c>
      <c r="C103" s="43">
        <v>0.8</v>
      </c>
      <c r="D103" s="43">
        <v>33.299999999999997</v>
      </c>
      <c r="E103" s="43">
        <v>87.2</v>
      </c>
      <c r="F103" s="43">
        <v>110.7</v>
      </c>
      <c r="G103" s="43">
        <v>95.4</v>
      </c>
      <c r="H103" s="43">
        <v>39.4</v>
      </c>
      <c r="I103" s="43">
        <v>7.9</v>
      </c>
      <c r="J103" s="43">
        <v>0.6</v>
      </c>
      <c r="K103" s="43">
        <v>1876.5</v>
      </c>
    </row>
    <row r="104" spans="2:11">
      <c r="B104" s="8">
        <v>2009</v>
      </c>
      <c r="C104" s="43">
        <v>0.4</v>
      </c>
      <c r="D104" s="43">
        <v>32.700000000000003</v>
      </c>
      <c r="E104" s="43">
        <v>83.4</v>
      </c>
      <c r="F104" s="43">
        <v>112.6</v>
      </c>
      <c r="G104" s="43">
        <v>95.9</v>
      </c>
      <c r="H104" s="43">
        <v>37.5</v>
      </c>
      <c r="I104" s="43">
        <v>7.6</v>
      </c>
      <c r="J104" s="43">
        <v>0.4</v>
      </c>
      <c r="K104" s="43">
        <v>1852.5</v>
      </c>
    </row>
    <row r="105" spans="2:11">
      <c r="B105" s="8"/>
      <c r="C105" s="43"/>
      <c r="D105" s="43"/>
      <c r="E105" s="43"/>
      <c r="F105" s="43"/>
      <c r="G105" s="43"/>
      <c r="H105" s="43"/>
      <c r="I105" s="43"/>
      <c r="J105" s="43"/>
      <c r="K105" s="43"/>
    </row>
    <row r="106" spans="2:11">
      <c r="B106" s="8">
        <v>2010</v>
      </c>
      <c r="C106" s="43">
        <v>0.3</v>
      </c>
      <c r="D106" s="43">
        <v>30.1</v>
      </c>
      <c r="E106" s="43">
        <v>84.2</v>
      </c>
      <c r="F106" s="43">
        <v>114.5</v>
      </c>
      <c r="G106" s="43">
        <v>95.2</v>
      </c>
      <c r="H106" s="43">
        <v>38.6</v>
      </c>
      <c r="I106" s="43">
        <v>7.8</v>
      </c>
      <c r="J106" s="43">
        <v>0.5</v>
      </c>
      <c r="K106" s="43">
        <v>1856</v>
      </c>
    </row>
    <row r="107" spans="2:11">
      <c r="B107" s="8">
        <v>2011</v>
      </c>
      <c r="C107" s="43">
        <v>0.3</v>
      </c>
      <c r="D107" s="43">
        <v>27.8</v>
      </c>
      <c r="E107" s="43">
        <v>80.900000000000006</v>
      </c>
      <c r="F107" s="43">
        <v>115.5</v>
      </c>
      <c r="G107" s="43">
        <v>96</v>
      </c>
      <c r="H107" s="43">
        <v>40</v>
      </c>
      <c r="I107" s="43">
        <v>8.1999999999999993</v>
      </c>
      <c r="J107" s="43">
        <v>0.5</v>
      </c>
      <c r="K107" s="43">
        <v>1846</v>
      </c>
    </row>
    <row r="108" spans="2:11">
      <c r="B108" s="8">
        <v>2012</v>
      </c>
      <c r="C108" s="43">
        <v>0.3</v>
      </c>
      <c r="D108" s="43">
        <v>26.2</v>
      </c>
      <c r="E108" s="43">
        <v>78.400000000000006</v>
      </c>
      <c r="F108" s="43">
        <v>113.9</v>
      </c>
      <c r="G108" s="43">
        <v>95.7</v>
      </c>
      <c r="H108" s="43">
        <v>40.6</v>
      </c>
      <c r="I108" s="43">
        <v>7.9</v>
      </c>
      <c r="J108" s="43">
        <v>0.5</v>
      </c>
      <c r="K108" s="43">
        <v>1817.5</v>
      </c>
    </row>
    <row r="109" spans="2:11">
      <c r="B109" s="8">
        <v>2013</v>
      </c>
      <c r="C109" s="43">
        <v>0.2</v>
      </c>
      <c r="D109" s="43">
        <v>23.6</v>
      </c>
      <c r="E109" s="43">
        <v>77.3</v>
      </c>
      <c r="F109" s="43">
        <v>115.1</v>
      </c>
      <c r="G109" s="43">
        <v>98.6</v>
      </c>
      <c r="H109" s="43">
        <v>42.7</v>
      </c>
      <c r="I109" s="43">
        <v>8.1</v>
      </c>
      <c r="J109" s="43">
        <v>0.5</v>
      </c>
      <c r="K109" s="43">
        <v>1830.5</v>
      </c>
    </row>
    <row r="110" spans="2:11">
      <c r="B110" s="6"/>
      <c r="C110" s="69"/>
      <c r="D110" s="69"/>
      <c r="E110" s="69"/>
      <c r="F110" s="69"/>
      <c r="G110" s="69"/>
      <c r="H110" s="69"/>
      <c r="I110" s="69"/>
      <c r="J110" s="69"/>
      <c r="K110" s="69"/>
    </row>
    <row r="111" spans="2:11" ht="74.25" customHeight="1">
      <c r="B111" s="289" t="s">
        <v>586</v>
      </c>
      <c r="C111" s="290"/>
      <c r="D111" s="290"/>
      <c r="E111" s="290"/>
      <c r="F111" s="290"/>
      <c r="G111" s="290"/>
      <c r="H111" s="290"/>
      <c r="I111" s="290"/>
      <c r="J111" s="290"/>
      <c r="K111" s="290"/>
    </row>
    <row r="112" spans="2:11" ht="53.25" customHeight="1">
      <c r="B112" s="281" t="s">
        <v>587</v>
      </c>
      <c r="C112" s="280"/>
      <c r="D112" s="280"/>
      <c r="E112" s="280"/>
      <c r="F112" s="280"/>
      <c r="G112" s="280"/>
      <c r="H112" s="280"/>
      <c r="I112" s="280"/>
      <c r="J112" s="280"/>
      <c r="K112" s="280"/>
    </row>
    <row r="113" spans="2:11">
      <c r="B113" s="2" t="s">
        <v>588</v>
      </c>
    </row>
    <row r="114" spans="2:11">
      <c r="B114" s="288" t="s">
        <v>589</v>
      </c>
      <c r="C114" s="288"/>
      <c r="D114" s="288"/>
      <c r="E114" s="288"/>
      <c r="F114" s="288"/>
      <c r="G114" s="288"/>
      <c r="H114" s="288"/>
      <c r="I114" s="288"/>
      <c r="J114" s="288"/>
      <c r="K114" s="288"/>
    </row>
    <row r="115" spans="2:11">
      <c r="B115" s="288"/>
      <c r="C115" s="288"/>
      <c r="D115" s="288"/>
      <c r="E115" s="288"/>
      <c r="F115" s="288"/>
      <c r="G115" s="288"/>
      <c r="H115" s="288"/>
      <c r="I115" s="288"/>
      <c r="J115" s="288"/>
      <c r="K115" s="288"/>
    </row>
    <row r="116" spans="2:11">
      <c r="B116" s="2" t="s">
        <v>590</v>
      </c>
    </row>
    <row r="117" spans="2:11">
      <c r="B117" s="2" t="s">
        <v>591</v>
      </c>
    </row>
    <row r="118" spans="2:11">
      <c r="B118" s="288" t="s">
        <v>592</v>
      </c>
      <c r="C118" s="288"/>
      <c r="D118" s="288"/>
      <c r="E118" s="288"/>
      <c r="F118" s="288"/>
      <c r="G118" s="288"/>
      <c r="H118" s="288"/>
      <c r="I118" s="288"/>
      <c r="J118" s="288"/>
      <c r="K118" s="288"/>
    </row>
    <row r="119" spans="2:11">
      <c r="B119" s="288"/>
      <c r="C119" s="288"/>
      <c r="D119" s="288"/>
      <c r="E119" s="288"/>
      <c r="F119" s="288"/>
      <c r="G119" s="288"/>
      <c r="H119" s="288"/>
      <c r="I119" s="288"/>
      <c r="J119" s="288"/>
      <c r="K119" s="288"/>
    </row>
    <row r="120" spans="2:11">
      <c r="B120" s="288" t="s">
        <v>593</v>
      </c>
      <c r="C120" s="288"/>
      <c r="D120" s="288"/>
      <c r="E120" s="288"/>
      <c r="F120" s="288"/>
      <c r="G120" s="288"/>
      <c r="H120" s="288"/>
      <c r="I120" s="288"/>
      <c r="J120" s="288"/>
      <c r="K120" s="288"/>
    </row>
    <row r="121" spans="2:11">
      <c r="B121" s="288"/>
      <c r="C121" s="288"/>
      <c r="D121" s="288"/>
      <c r="E121" s="288"/>
      <c r="F121" s="288"/>
      <c r="G121" s="288"/>
      <c r="H121" s="288"/>
      <c r="I121" s="288"/>
      <c r="J121" s="288"/>
      <c r="K121" s="288"/>
    </row>
  </sheetData>
  <mergeCells count="7">
    <mergeCell ref="B118:K119"/>
    <mergeCell ref="B120:K121"/>
    <mergeCell ref="B111:K111"/>
    <mergeCell ref="B112:K112"/>
    <mergeCell ref="B5:B6"/>
    <mergeCell ref="K5:K6"/>
    <mergeCell ref="B114:K115"/>
  </mergeCells>
  <phoneticPr fontId="0" type="noConversion"/>
  <printOptions horizontalCentered="1"/>
  <pageMargins left="0.25" right="0.25" top="0.5" bottom="0.25" header="0" footer="0"/>
  <pageSetup scale="81"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4"/>
  <sheetViews>
    <sheetView workbookViewId="0"/>
  </sheetViews>
  <sheetFormatPr defaultColWidth="15.1640625" defaultRowHeight="15"/>
  <cols>
    <col min="1" max="1" width="4" style="2" customWidth="1"/>
    <col min="2" max="2" width="9.1640625" style="2" customWidth="1"/>
    <col min="3" max="3" width="13.6640625" style="2" bestFit="1" customWidth="1"/>
    <col min="4" max="4" width="12.1640625" style="2" bestFit="1" customWidth="1"/>
    <col min="5" max="5" width="11.1640625" style="2" customWidth="1"/>
    <col min="6" max="6" width="13" style="2" customWidth="1"/>
    <col min="7" max="7" width="11.33203125" style="2" bestFit="1" customWidth="1"/>
    <col min="8" max="8" width="15.5" style="2" customWidth="1"/>
    <col min="9" max="9" width="16.33203125" style="2" customWidth="1"/>
    <col min="10" max="10" width="8.6640625" style="2" customWidth="1"/>
    <col min="11" max="11" width="10.5" style="2" bestFit="1" customWidth="1"/>
    <col min="12" max="12" width="14" style="2" bestFit="1" customWidth="1"/>
    <col min="13" max="13" width="14.33203125" style="2" customWidth="1"/>
    <col min="14" max="16384" width="15.1640625" style="2"/>
  </cols>
  <sheetData>
    <row r="2" spans="2:13">
      <c r="B2" s="3" t="s">
        <v>278</v>
      </c>
      <c r="C2" s="4"/>
      <c r="D2" s="4"/>
      <c r="E2" s="4"/>
      <c r="F2" s="4"/>
      <c r="G2" s="4"/>
      <c r="H2" s="4"/>
      <c r="I2" s="4"/>
      <c r="J2" s="4"/>
      <c r="K2" s="4"/>
      <c r="L2" s="4"/>
      <c r="M2" s="4"/>
    </row>
    <row r="3" spans="2:13" ht="15.75">
      <c r="B3" s="5" t="s">
        <v>560</v>
      </c>
      <c r="C3" s="4"/>
      <c r="D3" s="4"/>
      <c r="E3" s="4"/>
      <c r="F3" s="4"/>
      <c r="G3" s="4"/>
      <c r="H3" s="4"/>
      <c r="I3" s="4"/>
      <c r="J3" s="4"/>
      <c r="K3" s="4"/>
      <c r="L3" s="4"/>
      <c r="M3" s="4"/>
    </row>
    <row r="4" spans="2:13">
      <c r="B4" s="3" t="s">
        <v>565</v>
      </c>
      <c r="C4" s="4"/>
      <c r="D4" s="4"/>
      <c r="E4" s="4"/>
      <c r="F4" s="4"/>
      <c r="G4" s="4"/>
      <c r="H4" s="4"/>
      <c r="I4" s="4"/>
      <c r="J4" s="4"/>
      <c r="K4" s="4"/>
      <c r="L4" s="4"/>
      <c r="M4" s="4"/>
    </row>
    <row r="5" spans="2:13" ht="90">
      <c r="B5" s="31" t="s">
        <v>157</v>
      </c>
      <c r="C5" s="32" t="s">
        <v>279</v>
      </c>
      <c r="D5" s="75" t="s">
        <v>561</v>
      </c>
      <c r="E5" s="33" t="s">
        <v>301</v>
      </c>
      <c r="F5" s="33" t="s">
        <v>286</v>
      </c>
      <c r="G5" s="31" t="s">
        <v>280</v>
      </c>
      <c r="H5" s="33" t="s">
        <v>302</v>
      </c>
      <c r="I5" s="33" t="s">
        <v>300</v>
      </c>
      <c r="J5" s="34" t="s">
        <v>281</v>
      </c>
      <c r="K5" s="34" t="s">
        <v>282</v>
      </c>
      <c r="L5" s="34" t="s">
        <v>283</v>
      </c>
      <c r="M5" s="35" t="s">
        <v>299</v>
      </c>
    </row>
    <row r="6" spans="2:13">
      <c r="B6" s="8" t="s">
        <v>158</v>
      </c>
      <c r="C6" s="52">
        <v>529</v>
      </c>
      <c r="D6" s="52">
        <v>272</v>
      </c>
      <c r="E6" s="52">
        <v>869</v>
      </c>
      <c r="F6" s="52">
        <v>208</v>
      </c>
      <c r="G6" s="52">
        <v>342</v>
      </c>
      <c r="H6" s="205">
        <v>2018</v>
      </c>
      <c r="I6" s="52">
        <v>2500</v>
      </c>
      <c r="J6" s="206" t="s">
        <v>284</v>
      </c>
      <c r="K6" s="206" t="s">
        <v>284</v>
      </c>
      <c r="L6" s="206" t="s">
        <v>284</v>
      </c>
      <c r="M6" s="206" t="s">
        <v>284</v>
      </c>
    </row>
    <row r="7" spans="2:13">
      <c r="B7" s="8" t="s">
        <v>180</v>
      </c>
      <c r="C7" s="52">
        <v>502</v>
      </c>
      <c r="D7" s="52">
        <v>312</v>
      </c>
      <c r="E7" s="52">
        <v>645</v>
      </c>
      <c r="F7" s="52">
        <v>163</v>
      </c>
      <c r="G7" s="52">
        <v>79</v>
      </c>
      <c r="H7" s="205">
        <v>2152</v>
      </c>
      <c r="I7" s="52">
        <v>2548</v>
      </c>
      <c r="J7" s="206" t="s">
        <v>284</v>
      </c>
      <c r="K7" s="52">
        <v>88</v>
      </c>
      <c r="L7" s="206" t="s">
        <v>284</v>
      </c>
      <c r="M7" s="206" t="s">
        <v>284</v>
      </c>
    </row>
    <row r="8" spans="2:13">
      <c r="B8" s="8" t="s">
        <v>181</v>
      </c>
      <c r="C8" s="52">
        <v>504</v>
      </c>
      <c r="D8" s="52">
        <v>277</v>
      </c>
      <c r="E8" s="52">
        <v>608</v>
      </c>
      <c r="F8" s="52">
        <v>289</v>
      </c>
      <c r="G8" s="52">
        <v>238</v>
      </c>
      <c r="H8" s="205">
        <v>2088</v>
      </c>
      <c r="I8" s="52">
        <v>2462</v>
      </c>
      <c r="J8" s="206" t="s">
        <v>284</v>
      </c>
      <c r="K8" s="52">
        <v>114</v>
      </c>
      <c r="L8" s="206" t="s">
        <v>284</v>
      </c>
      <c r="M8" s="206" t="s">
        <v>284</v>
      </c>
    </row>
    <row r="9" spans="2:13">
      <c r="B9" s="8" t="s">
        <v>182</v>
      </c>
      <c r="C9" s="52">
        <v>686</v>
      </c>
      <c r="D9" s="52">
        <v>200</v>
      </c>
      <c r="E9" s="52">
        <v>606</v>
      </c>
      <c r="F9" s="52">
        <v>383</v>
      </c>
      <c r="G9" s="52">
        <v>176</v>
      </c>
      <c r="H9" s="205">
        <v>2155</v>
      </c>
      <c r="I9" s="52">
        <v>2562</v>
      </c>
      <c r="J9" s="206" t="s">
        <v>284</v>
      </c>
      <c r="K9" s="52">
        <v>130</v>
      </c>
      <c r="L9" s="206" t="s">
        <v>284</v>
      </c>
      <c r="M9" s="206" t="s">
        <v>284</v>
      </c>
    </row>
    <row r="10" spans="2:13">
      <c r="B10" s="8" t="s">
        <v>183</v>
      </c>
      <c r="C10" s="52">
        <v>515</v>
      </c>
      <c r="D10" s="52">
        <v>210</v>
      </c>
      <c r="E10" s="52">
        <v>641</v>
      </c>
      <c r="F10" s="52">
        <v>148</v>
      </c>
      <c r="G10" s="52">
        <v>194</v>
      </c>
      <c r="H10" s="205">
        <v>2306</v>
      </c>
      <c r="I10" s="52">
        <v>2761</v>
      </c>
      <c r="J10" s="206" t="s">
        <v>284</v>
      </c>
      <c r="K10" s="52">
        <v>101</v>
      </c>
      <c r="L10" s="206" t="s">
        <v>284</v>
      </c>
      <c r="M10" s="206" t="s">
        <v>284</v>
      </c>
    </row>
    <row r="11" spans="2:13">
      <c r="B11" s="8" t="s">
        <v>184</v>
      </c>
      <c r="C11" s="52">
        <v>478</v>
      </c>
      <c r="D11" s="52">
        <v>123</v>
      </c>
      <c r="E11" s="52">
        <v>636</v>
      </c>
      <c r="F11" s="52">
        <v>131</v>
      </c>
      <c r="G11" s="52">
        <v>123</v>
      </c>
      <c r="H11" s="205">
        <v>2288</v>
      </c>
      <c r="I11" s="52">
        <v>2732</v>
      </c>
      <c r="J11" s="206" t="s">
        <v>284</v>
      </c>
      <c r="K11" s="52">
        <v>89</v>
      </c>
      <c r="L11" s="206" t="s">
        <v>284</v>
      </c>
      <c r="M11" s="206" t="s">
        <v>284</v>
      </c>
    </row>
    <row r="12" spans="2:13">
      <c r="B12" s="8" t="s">
        <v>185</v>
      </c>
      <c r="C12" s="52">
        <v>472</v>
      </c>
      <c r="D12" s="52">
        <v>227</v>
      </c>
      <c r="E12" s="52">
        <v>721</v>
      </c>
      <c r="F12" s="52">
        <v>469</v>
      </c>
      <c r="G12" s="52">
        <v>251</v>
      </c>
      <c r="H12" s="205">
        <v>2303</v>
      </c>
      <c r="I12" s="52">
        <v>2737</v>
      </c>
      <c r="J12" s="206" t="s">
        <v>284</v>
      </c>
      <c r="K12" s="52">
        <v>89</v>
      </c>
      <c r="L12" s="206" t="s">
        <v>284</v>
      </c>
      <c r="M12" s="206" t="s">
        <v>284</v>
      </c>
    </row>
    <row r="13" spans="2:13">
      <c r="B13" s="8" t="s">
        <v>186</v>
      </c>
      <c r="C13" s="52">
        <v>421</v>
      </c>
      <c r="D13" s="52">
        <v>159</v>
      </c>
      <c r="E13" s="52">
        <v>594</v>
      </c>
      <c r="F13" s="52">
        <v>223</v>
      </c>
      <c r="G13" s="52">
        <v>256</v>
      </c>
      <c r="H13" s="205">
        <v>2338</v>
      </c>
      <c r="I13" s="52">
        <v>2728</v>
      </c>
      <c r="J13" s="206" t="s">
        <v>284</v>
      </c>
      <c r="K13" s="52">
        <v>94</v>
      </c>
      <c r="L13" s="206" t="s">
        <v>284</v>
      </c>
      <c r="M13" s="206" t="s">
        <v>284</v>
      </c>
    </row>
    <row r="14" spans="2:13">
      <c r="B14" s="8" t="s">
        <v>187</v>
      </c>
      <c r="C14" s="52">
        <v>343</v>
      </c>
      <c r="D14" s="52">
        <v>194</v>
      </c>
      <c r="E14" s="52">
        <v>687</v>
      </c>
      <c r="F14" s="52">
        <v>305</v>
      </c>
      <c r="G14" s="52">
        <v>121</v>
      </c>
      <c r="H14" s="205">
        <v>2249</v>
      </c>
      <c r="I14" s="52">
        <v>2706</v>
      </c>
      <c r="J14" s="206" t="s">
        <v>284</v>
      </c>
      <c r="K14" s="52">
        <v>118</v>
      </c>
      <c r="L14" s="206" t="s">
        <v>284</v>
      </c>
      <c r="M14" s="206" t="s">
        <v>284</v>
      </c>
    </row>
    <row r="15" spans="2:13">
      <c r="B15" s="8" t="s">
        <v>188</v>
      </c>
      <c r="C15" s="52">
        <v>395</v>
      </c>
      <c r="D15" s="52">
        <v>275</v>
      </c>
      <c r="E15" s="52">
        <v>653</v>
      </c>
      <c r="F15" s="52">
        <v>217</v>
      </c>
      <c r="G15" s="52">
        <v>270</v>
      </c>
      <c r="H15" s="205">
        <v>2237</v>
      </c>
      <c r="I15" s="52">
        <v>2629</v>
      </c>
      <c r="J15" s="206" t="s">
        <v>284</v>
      </c>
      <c r="K15" s="52">
        <v>127</v>
      </c>
      <c r="L15" s="206" t="s">
        <v>284</v>
      </c>
      <c r="M15" s="206" t="s">
        <v>284</v>
      </c>
    </row>
    <row r="16" spans="2:13">
      <c r="B16" s="11"/>
      <c r="C16" s="205"/>
      <c r="D16" s="205"/>
      <c r="E16" s="52"/>
      <c r="F16" s="205"/>
      <c r="G16" s="52"/>
      <c r="H16" s="205"/>
      <c r="I16" s="52"/>
      <c r="J16" s="52"/>
      <c r="K16" s="52"/>
      <c r="L16" s="206"/>
      <c r="M16" s="206"/>
    </row>
    <row r="17" spans="2:13">
      <c r="B17" s="8" t="s">
        <v>159</v>
      </c>
      <c r="C17" s="52">
        <v>495</v>
      </c>
      <c r="D17" s="52">
        <v>297</v>
      </c>
      <c r="E17" s="52">
        <v>654</v>
      </c>
      <c r="F17" s="52">
        <v>318</v>
      </c>
      <c r="G17" s="52">
        <v>251</v>
      </c>
      <c r="H17" s="205">
        <v>2273</v>
      </c>
      <c r="I17" s="52">
        <v>2756</v>
      </c>
      <c r="J17" s="52">
        <v>52</v>
      </c>
      <c r="K17" s="52">
        <v>65</v>
      </c>
      <c r="L17" s="206" t="s">
        <v>284</v>
      </c>
      <c r="M17" s="206" t="s">
        <v>284</v>
      </c>
    </row>
    <row r="18" spans="2:13">
      <c r="B18" s="8" t="s">
        <v>189</v>
      </c>
      <c r="C18" s="52">
        <v>473</v>
      </c>
      <c r="D18" s="52">
        <v>208</v>
      </c>
      <c r="E18" s="52">
        <v>551</v>
      </c>
      <c r="F18" s="52">
        <v>254</v>
      </c>
      <c r="G18" s="52">
        <v>200</v>
      </c>
      <c r="H18" s="205">
        <v>2284</v>
      </c>
      <c r="I18" s="52">
        <v>2766</v>
      </c>
      <c r="J18" s="52">
        <v>55</v>
      </c>
      <c r="K18" s="52">
        <v>104</v>
      </c>
      <c r="L18" s="206" t="s">
        <v>284</v>
      </c>
      <c r="M18" s="206" t="s">
        <v>284</v>
      </c>
    </row>
    <row r="19" spans="2:13">
      <c r="B19" s="8" t="s">
        <v>190</v>
      </c>
      <c r="C19" s="52">
        <v>465</v>
      </c>
      <c r="D19" s="52">
        <v>186</v>
      </c>
      <c r="E19" s="52">
        <v>534</v>
      </c>
      <c r="F19" s="52">
        <v>252</v>
      </c>
      <c r="G19" s="52">
        <v>118</v>
      </c>
      <c r="H19" s="205">
        <v>2289</v>
      </c>
      <c r="I19" s="52">
        <v>2744</v>
      </c>
      <c r="J19" s="52">
        <v>48</v>
      </c>
      <c r="K19" s="52">
        <v>90</v>
      </c>
      <c r="L19" s="206" t="s">
        <v>284</v>
      </c>
      <c r="M19" s="206" t="s">
        <v>284</v>
      </c>
    </row>
    <row r="20" spans="2:13">
      <c r="B20" s="8" t="s">
        <v>191</v>
      </c>
      <c r="C20" s="52">
        <v>676</v>
      </c>
      <c r="D20" s="52">
        <v>283</v>
      </c>
      <c r="E20" s="52">
        <v>538</v>
      </c>
      <c r="F20" s="52">
        <v>292</v>
      </c>
      <c r="G20" s="52">
        <v>258</v>
      </c>
      <c r="H20" s="205">
        <v>2243</v>
      </c>
      <c r="I20" s="52">
        <v>2703</v>
      </c>
      <c r="J20" s="52">
        <v>43</v>
      </c>
      <c r="K20" s="52">
        <v>136</v>
      </c>
      <c r="L20" s="206" t="s">
        <v>284</v>
      </c>
      <c r="M20" s="206" t="s">
        <v>284</v>
      </c>
    </row>
    <row r="21" spans="2:13">
      <c r="B21" s="8" t="s">
        <v>192</v>
      </c>
      <c r="C21" s="52">
        <v>507</v>
      </c>
      <c r="D21" s="52">
        <v>177</v>
      </c>
      <c r="E21" s="52">
        <v>400</v>
      </c>
      <c r="F21" s="52">
        <v>304</v>
      </c>
      <c r="G21" s="52">
        <v>180</v>
      </c>
      <c r="H21" s="205">
        <v>2325</v>
      </c>
      <c r="I21" s="52">
        <v>2799</v>
      </c>
      <c r="J21" s="52">
        <v>41</v>
      </c>
      <c r="K21" s="52">
        <v>160</v>
      </c>
      <c r="L21" s="206" t="s">
        <v>284</v>
      </c>
      <c r="M21" s="206" t="s">
        <v>284</v>
      </c>
    </row>
    <row r="22" spans="2:13">
      <c r="B22" s="8" t="s">
        <v>193</v>
      </c>
      <c r="C22" s="52">
        <v>354</v>
      </c>
      <c r="D22" s="52">
        <v>107</v>
      </c>
      <c r="E22" s="52">
        <v>353</v>
      </c>
      <c r="F22" s="52">
        <v>236</v>
      </c>
      <c r="G22" s="52">
        <v>101</v>
      </c>
      <c r="H22" s="205">
        <v>2527</v>
      </c>
      <c r="I22" s="52">
        <v>2986</v>
      </c>
      <c r="J22" s="52">
        <v>36</v>
      </c>
      <c r="K22" s="52">
        <v>163</v>
      </c>
      <c r="L22" s="206" t="s">
        <v>284</v>
      </c>
      <c r="M22" s="206" t="s">
        <v>284</v>
      </c>
    </row>
    <row r="23" spans="2:13">
      <c r="B23" s="8" t="s">
        <v>194</v>
      </c>
      <c r="C23" s="52">
        <v>507</v>
      </c>
      <c r="D23" s="52">
        <v>177</v>
      </c>
      <c r="E23" s="52">
        <v>424</v>
      </c>
      <c r="F23" s="52">
        <v>228</v>
      </c>
      <c r="G23" s="52">
        <v>363</v>
      </c>
      <c r="H23" s="205">
        <v>2573</v>
      </c>
      <c r="I23" s="52">
        <v>3070</v>
      </c>
      <c r="J23" s="52">
        <v>141</v>
      </c>
      <c r="K23" s="52">
        <v>206</v>
      </c>
      <c r="L23" s="206" t="s">
        <v>284</v>
      </c>
      <c r="M23" s="206" t="s">
        <v>284</v>
      </c>
    </row>
    <row r="24" spans="2:13">
      <c r="B24" s="8" t="s">
        <v>195</v>
      </c>
      <c r="C24" s="52">
        <v>851</v>
      </c>
      <c r="D24" s="52">
        <v>340</v>
      </c>
      <c r="E24" s="52">
        <v>386</v>
      </c>
      <c r="F24" s="52">
        <v>360</v>
      </c>
      <c r="G24" s="52">
        <v>259</v>
      </c>
      <c r="H24" s="205">
        <v>2779</v>
      </c>
      <c r="I24" s="52">
        <v>3310</v>
      </c>
      <c r="J24" s="52">
        <v>44</v>
      </c>
      <c r="K24" s="52">
        <v>224</v>
      </c>
      <c r="L24" s="206" t="s">
        <v>284</v>
      </c>
      <c r="M24" s="206" t="s">
        <v>284</v>
      </c>
    </row>
    <row r="25" spans="2:13">
      <c r="B25" s="8" t="s">
        <v>196</v>
      </c>
      <c r="C25" s="52">
        <v>686</v>
      </c>
      <c r="D25" s="52">
        <v>181</v>
      </c>
      <c r="E25" s="52">
        <v>337</v>
      </c>
      <c r="F25" s="52">
        <v>496</v>
      </c>
      <c r="G25" s="52">
        <v>270</v>
      </c>
      <c r="H25" s="205">
        <v>3059</v>
      </c>
      <c r="I25" s="52">
        <v>3612</v>
      </c>
      <c r="J25" s="52">
        <v>58</v>
      </c>
      <c r="K25" s="52">
        <v>290</v>
      </c>
      <c r="L25" s="206" t="s">
        <v>284</v>
      </c>
      <c r="M25" s="206" t="s">
        <v>284</v>
      </c>
    </row>
    <row r="26" spans="2:13">
      <c r="B26" s="8" t="s">
        <v>197</v>
      </c>
      <c r="C26" s="52">
        <v>764</v>
      </c>
      <c r="D26" s="52">
        <v>179</v>
      </c>
      <c r="E26" s="52">
        <v>272</v>
      </c>
      <c r="F26" s="52">
        <v>172</v>
      </c>
      <c r="G26" s="52">
        <v>183</v>
      </c>
      <c r="H26" s="205">
        <v>2620</v>
      </c>
      <c r="I26" s="52">
        <v>3127</v>
      </c>
      <c r="J26" s="52">
        <v>80</v>
      </c>
      <c r="K26" s="52">
        <v>299</v>
      </c>
      <c r="L26" s="206" t="s">
        <v>284</v>
      </c>
      <c r="M26" s="206" t="s">
        <v>284</v>
      </c>
    </row>
    <row r="27" spans="2:13">
      <c r="B27" s="11"/>
      <c r="C27" s="52"/>
      <c r="D27" s="52"/>
      <c r="E27" s="205"/>
      <c r="F27" s="52"/>
      <c r="G27" s="52"/>
      <c r="H27" s="205"/>
      <c r="I27" s="52"/>
      <c r="J27" s="52"/>
      <c r="K27" s="205"/>
      <c r="L27" s="206"/>
      <c r="M27" s="206"/>
    </row>
    <row r="28" spans="2:13">
      <c r="B28" s="8" t="s">
        <v>160</v>
      </c>
      <c r="C28" s="52">
        <v>888</v>
      </c>
      <c r="D28" s="52">
        <v>305</v>
      </c>
      <c r="E28" s="52">
        <v>297</v>
      </c>
      <c r="F28" s="52">
        <v>511</v>
      </c>
      <c r="G28" s="52">
        <v>436</v>
      </c>
      <c r="H28" s="205">
        <v>2645</v>
      </c>
      <c r="I28" s="52">
        <v>3149</v>
      </c>
      <c r="J28" s="52">
        <v>30</v>
      </c>
      <c r="K28" s="52">
        <v>314</v>
      </c>
      <c r="L28" s="206" t="s">
        <v>284</v>
      </c>
      <c r="M28" s="206" t="s">
        <v>284</v>
      </c>
    </row>
    <row r="29" spans="2:13">
      <c r="B29" s="8" t="s">
        <v>198</v>
      </c>
      <c r="C29" s="52">
        <v>954</v>
      </c>
      <c r="D29" s="52">
        <v>334</v>
      </c>
      <c r="E29" s="52">
        <v>285</v>
      </c>
      <c r="F29" s="52">
        <v>316</v>
      </c>
      <c r="G29" s="52">
        <v>58</v>
      </c>
      <c r="H29" s="205">
        <v>2285</v>
      </c>
      <c r="I29" s="52">
        <v>2736</v>
      </c>
      <c r="J29" s="52">
        <v>100</v>
      </c>
      <c r="K29" s="52">
        <v>226</v>
      </c>
      <c r="L29" s="52">
        <v>14</v>
      </c>
      <c r="M29" s="206" t="s">
        <v>284</v>
      </c>
    </row>
    <row r="30" spans="2:13">
      <c r="B30" s="8" t="s">
        <v>199</v>
      </c>
      <c r="C30" s="52">
        <v>620</v>
      </c>
      <c r="D30" s="52">
        <v>217</v>
      </c>
      <c r="E30" s="52">
        <v>192</v>
      </c>
      <c r="F30" s="52">
        <v>232</v>
      </c>
      <c r="G30" s="52">
        <v>232</v>
      </c>
      <c r="H30" s="205">
        <v>2232</v>
      </c>
      <c r="I30" s="52">
        <v>2654</v>
      </c>
      <c r="J30" s="52">
        <v>21</v>
      </c>
      <c r="K30" s="52">
        <v>186</v>
      </c>
      <c r="L30" s="52">
        <v>6</v>
      </c>
      <c r="M30" s="206" t="s">
        <v>284</v>
      </c>
    </row>
    <row r="31" spans="2:13">
      <c r="B31" s="8" t="s">
        <v>200</v>
      </c>
      <c r="C31" s="52">
        <v>675</v>
      </c>
      <c r="D31" s="52">
        <v>304</v>
      </c>
      <c r="E31" s="52">
        <v>202</v>
      </c>
      <c r="F31" s="52">
        <v>323</v>
      </c>
      <c r="G31" s="52">
        <v>258</v>
      </c>
      <c r="H31" s="205">
        <v>2410</v>
      </c>
      <c r="I31" s="52">
        <v>2837</v>
      </c>
      <c r="J31" s="52">
        <v>18</v>
      </c>
      <c r="K31" s="52">
        <v>262</v>
      </c>
      <c r="L31" s="52">
        <v>5</v>
      </c>
      <c r="M31" s="206" t="s">
        <v>284</v>
      </c>
    </row>
    <row r="32" spans="2:13">
      <c r="B32" s="8" t="s">
        <v>201</v>
      </c>
      <c r="C32" s="52">
        <v>470</v>
      </c>
      <c r="D32" s="52">
        <v>265</v>
      </c>
      <c r="E32" s="52">
        <v>149</v>
      </c>
      <c r="F32" s="52">
        <v>169</v>
      </c>
      <c r="G32" s="52">
        <v>221</v>
      </c>
      <c r="H32" s="52">
        <v>2474</v>
      </c>
      <c r="I32" s="52">
        <v>2952</v>
      </c>
      <c r="J32" s="52">
        <v>116</v>
      </c>
      <c r="K32" s="52">
        <v>271</v>
      </c>
      <c r="L32" s="52">
        <v>13</v>
      </c>
      <c r="M32" s="206" t="s">
        <v>284</v>
      </c>
    </row>
    <row r="33" spans="2:13">
      <c r="B33" s="8" t="s">
        <v>202</v>
      </c>
      <c r="C33" s="52">
        <v>358</v>
      </c>
      <c r="D33" s="52">
        <v>208</v>
      </c>
      <c r="E33" s="52">
        <v>157</v>
      </c>
      <c r="F33" s="52">
        <v>260</v>
      </c>
      <c r="G33" s="52">
        <v>69</v>
      </c>
      <c r="H33" s="52">
        <v>2410</v>
      </c>
      <c r="I33" s="52">
        <v>2830</v>
      </c>
      <c r="J33" s="52">
        <v>31</v>
      </c>
      <c r="K33" s="52">
        <v>282</v>
      </c>
      <c r="L33" s="52">
        <v>27</v>
      </c>
      <c r="M33" s="206" t="s">
        <v>284</v>
      </c>
    </row>
    <row r="34" spans="2:13">
      <c r="B34" s="8" t="s">
        <v>203</v>
      </c>
      <c r="C34" s="52">
        <v>677</v>
      </c>
      <c r="D34" s="52">
        <v>235</v>
      </c>
      <c r="E34" s="52">
        <v>119</v>
      </c>
      <c r="F34" s="52">
        <v>355</v>
      </c>
      <c r="G34" s="52">
        <v>577</v>
      </c>
      <c r="H34" s="52">
        <v>2601</v>
      </c>
      <c r="I34" s="52">
        <v>3041</v>
      </c>
      <c r="J34" s="52">
        <v>34</v>
      </c>
      <c r="K34" s="52">
        <v>327</v>
      </c>
      <c r="L34" s="52">
        <v>12</v>
      </c>
      <c r="M34" s="206" t="s">
        <v>284</v>
      </c>
    </row>
    <row r="35" spans="2:13">
      <c r="B35" s="8" t="s">
        <v>204</v>
      </c>
      <c r="C35" s="52">
        <v>516</v>
      </c>
      <c r="D35" s="52">
        <v>168</v>
      </c>
      <c r="E35" s="52">
        <v>94</v>
      </c>
      <c r="F35" s="52">
        <v>201</v>
      </c>
      <c r="G35" s="52">
        <v>67</v>
      </c>
      <c r="H35" s="52">
        <v>2514</v>
      </c>
      <c r="I35" s="52">
        <v>2952</v>
      </c>
      <c r="J35" s="52">
        <v>69</v>
      </c>
      <c r="K35" s="52">
        <v>305</v>
      </c>
      <c r="L35" s="52">
        <v>16</v>
      </c>
      <c r="M35" s="206" t="s">
        <v>284</v>
      </c>
    </row>
    <row r="36" spans="2:13">
      <c r="B36" s="8" t="s">
        <v>205</v>
      </c>
      <c r="C36" s="52">
        <v>384</v>
      </c>
      <c r="D36" s="52">
        <v>178</v>
      </c>
      <c r="E36" s="52">
        <v>83</v>
      </c>
      <c r="F36" s="52">
        <v>219</v>
      </c>
      <c r="G36" s="52">
        <v>303</v>
      </c>
      <c r="H36" s="52">
        <v>2647</v>
      </c>
      <c r="I36" s="52">
        <v>3108</v>
      </c>
      <c r="J36" s="52">
        <v>27</v>
      </c>
      <c r="K36" s="52">
        <v>384</v>
      </c>
      <c r="L36" s="52">
        <v>19</v>
      </c>
      <c r="M36" s="206" t="s">
        <v>284</v>
      </c>
    </row>
    <row r="37" spans="2:13">
      <c r="B37" s="8" t="s">
        <v>206</v>
      </c>
      <c r="C37" s="52">
        <v>498</v>
      </c>
      <c r="D37" s="52">
        <v>145</v>
      </c>
      <c r="E37" s="52">
        <v>81</v>
      </c>
      <c r="F37" s="52">
        <v>255</v>
      </c>
      <c r="G37" s="52">
        <v>146</v>
      </c>
      <c r="H37" s="52">
        <v>2685</v>
      </c>
      <c r="I37" s="52">
        <v>3140</v>
      </c>
      <c r="J37" s="52">
        <v>50</v>
      </c>
      <c r="K37" s="52">
        <v>397</v>
      </c>
      <c r="L37" s="52">
        <v>19</v>
      </c>
      <c r="M37" s="206" t="s">
        <v>284</v>
      </c>
    </row>
    <row r="38" spans="2:13">
      <c r="B38" s="11"/>
      <c r="C38" s="52"/>
      <c r="D38" s="52"/>
      <c r="E38" s="52"/>
      <c r="F38" s="52"/>
      <c r="G38" s="52"/>
      <c r="H38" s="52"/>
      <c r="I38" s="52"/>
      <c r="J38" s="52"/>
      <c r="K38" s="52"/>
      <c r="L38" s="52"/>
      <c r="M38" s="206"/>
    </row>
    <row r="39" spans="2:13">
      <c r="B39" s="8" t="s">
        <v>161</v>
      </c>
      <c r="C39" s="52">
        <v>299</v>
      </c>
      <c r="D39" s="52">
        <v>130</v>
      </c>
      <c r="E39" s="52">
        <v>87</v>
      </c>
      <c r="F39" s="52">
        <v>176</v>
      </c>
      <c r="G39" s="52">
        <v>231</v>
      </c>
      <c r="H39" s="52">
        <v>2443</v>
      </c>
      <c r="I39" s="52">
        <v>2912</v>
      </c>
      <c r="J39" s="52">
        <v>39</v>
      </c>
      <c r="K39" s="52">
        <v>395</v>
      </c>
      <c r="L39" s="52">
        <v>12</v>
      </c>
      <c r="M39" s="206" t="s">
        <v>284</v>
      </c>
    </row>
    <row r="40" spans="2:13">
      <c r="B40" s="8" t="s">
        <v>207</v>
      </c>
      <c r="C40" s="52">
        <v>172</v>
      </c>
      <c r="D40" s="52">
        <v>122</v>
      </c>
      <c r="E40" s="52">
        <v>73</v>
      </c>
      <c r="F40" s="52">
        <v>190</v>
      </c>
      <c r="G40" s="52">
        <v>28</v>
      </c>
      <c r="H40" s="52">
        <v>2263</v>
      </c>
      <c r="I40" s="52">
        <v>2660</v>
      </c>
      <c r="J40" s="52">
        <v>108</v>
      </c>
      <c r="K40" s="52">
        <v>361</v>
      </c>
      <c r="L40" s="52">
        <v>3</v>
      </c>
      <c r="M40" s="206" t="s">
        <v>284</v>
      </c>
    </row>
    <row r="41" spans="2:13">
      <c r="B41" s="8" t="s">
        <v>208</v>
      </c>
      <c r="C41" s="52">
        <v>106</v>
      </c>
      <c r="D41" s="52">
        <v>112</v>
      </c>
      <c r="E41" s="52">
        <v>56</v>
      </c>
      <c r="F41" s="52">
        <v>199</v>
      </c>
      <c r="G41" s="52">
        <v>183</v>
      </c>
      <c r="H41" s="52">
        <v>2101</v>
      </c>
      <c r="I41" s="52">
        <v>2463</v>
      </c>
      <c r="J41" s="52">
        <v>23</v>
      </c>
      <c r="K41" s="52">
        <v>377</v>
      </c>
      <c r="L41" s="52">
        <v>2</v>
      </c>
      <c r="M41" s="206" t="s">
        <v>284</v>
      </c>
    </row>
    <row r="42" spans="2:13">
      <c r="B42" s="8" t="s">
        <v>209</v>
      </c>
      <c r="C42" s="52">
        <v>112</v>
      </c>
      <c r="D42" s="52">
        <v>157</v>
      </c>
      <c r="E42" s="52">
        <v>50</v>
      </c>
      <c r="F42" s="52">
        <v>153</v>
      </c>
      <c r="G42" s="52">
        <v>111</v>
      </c>
      <c r="H42" s="52">
        <v>1996</v>
      </c>
      <c r="I42" s="52">
        <v>2348</v>
      </c>
      <c r="J42" s="52">
        <v>5</v>
      </c>
      <c r="K42" s="52">
        <v>327</v>
      </c>
      <c r="L42" s="52">
        <v>7</v>
      </c>
      <c r="M42" s="206" t="s">
        <v>284</v>
      </c>
    </row>
    <row r="43" spans="2:13">
      <c r="B43" s="8" t="s">
        <v>210</v>
      </c>
      <c r="C43" s="52">
        <v>38</v>
      </c>
      <c r="D43" s="52">
        <v>171</v>
      </c>
      <c r="E43" s="52">
        <v>65</v>
      </c>
      <c r="F43" s="52">
        <v>141</v>
      </c>
      <c r="G43" s="52">
        <v>36</v>
      </c>
      <c r="H43" s="52">
        <v>1909</v>
      </c>
      <c r="I43" s="52">
        <v>2199</v>
      </c>
      <c r="J43" s="52">
        <v>25</v>
      </c>
      <c r="K43" s="52">
        <v>402</v>
      </c>
      <c r="L43" s="52">
        <v>10</v>
      </c>
      <c r="M43" s="206" t="s">
        <v>284</v>
      </c>
    </row>
    <row r="44" spans="2:13">
      <c r="B44" s="8" t="s">
        <v>211</v>
      </c>
      <c r="C44" s="52">
        <v>58</v>
      </c>
      <c r="D44" s="52">
        <v>98</v>
      </c>
      <c r="E44" s="52">
        <v>34</v>
      </c>
      <c r="F44" s="52">
        <v>132</v>
      </c>
      <c r="G44" s="52">
        <v>184</v>
      </c>
      <c r="H44" s="52">
        <v>1741</v>
      </c>
      <c r="I44" s="52">
        <v>2044</v>
      </c>
      <c r="J44" s="52">
        <v>32</v>
      </c>
      <c r="K44" s="52">
        <v>393</v>
      </c>
      <c r="L44" s="52">
        <v>3</v>
      </c>
      <c r="M44" s="206" t="s">
        <v>284</v>
      </c>
    </row>
    <row r="45" spans="2:13">
      <c r="B45" s="8" t="s">
        <v>212</v>
      </c>
      <c r="C45" s="52">
        <v>52</v>
      </c>
      <c r="D45" s="52">
        <v>114</v>
      </c>
      <c r="E45" s="52">
        <v>37</v>
      </c>
      <c r="F45" s="52">
        <v>107</v>
      </c>
      <c r="G45" s="52">
        <v>12</v>
      </c>
      <c r="H45" s="52">
        <v>1816</v>
      </c>
      <c r="I45" s="52">
        <v>2100</v>
      </c>
      <c r="J45" s="52">
        <v>21</v>
      </c>
      <c r="K45" s="52">
        <v>394</v>
      </c>
      <c r="L45" s="52">
        <v>6</v>
      </c>
      <c r="M45" s="206" t="s">
        <v>284</v>
      </c>
    </row>
    <row r="46" spans="2:13">
      <c r="B46" s="8" t="s">
        <v>213</v>
      </c>
      <c r="C46" s="52">
        <v>72</v>
      </c>
      <c r="D46" s="52">
        <v>148</v>
      </c>
      <c r="E46" s="52">
        <v>29</v>
      </c>
      <c r="F46" s="52">
        <v>132</v>
      </c>
      <c r="G46" s="52">
        <v>11</v>
      </c>
      <c r="H46" s="52">
        <v>1860</v>
      </c>
      <c r="I46" s="52">
        <v>2119</v>
      </c>
      <c r="J46" s="52">
        <v>51</v>
      </c>
      <c r="K46" s="52">
        <v>401</v>
      </c>
      <c r="L46" s="52">
        <v>8</v>
      </c>
      <c r="M46" s="206" t="s">
        <v>284</v>
      </c>
    </row>
    <row r="47" spans="2:13">
      <c r="B47" s="8" t="s">
        <v>214</v>
      </c>
      <c r="C47" s="52">
        <v>44</v>
      </c>
      <c r="D47" s="52">
        <v>87</v>
      </c>
      <c r="E47" s="52">
        <v>23</v>
      </c>
      <c r="F47" s="52">
        <v>116</v>
      </c>
      <c r="G47" s="52">
        <v>100</v>
      </c>
      <c r="H47" s="52">
        <v>1633</v>
      </c>
      <c r="I47" s="52">
        <v>1866</v>
      </c>
      <c r="J47" s="52">
        <v>10</v>
      </c>
      <c r="K47" s="52">
        <v>401</v>
      </c>
      <c r="L47" s="52">
        <v>8</v>
      </c>
      <c r="M47" s="206" t="s">
        <v>284</v>
      </c>
    </row>
    <row r="48" spans="2:13">
      <c r="B48" s="8" t="s">
        <v>215</v>
      </c>
      <c r="C48" s="52">
        <v>25</v>
      </c>
      <c r="D48" s="52">
        <v>69</v>
      </c>
      <c r="E48" s="52">
        <v>25</v>
      </c>
      <c r="F48" s="52">
        <v>76</v>
      </c>
      <c r="G48" s="52">
        <v>29</v>
      </c>
      <c r="H48" s="52">
        <v>1651</v>
      </c>
      <c r="I48" s="52">
        <v>1881</v>
      </c>
      <c r="J48" s="52">
        <v>40</v>
      </c>
      <c r="K48" s="52">
        <v>389</v>
      </c>
      <c r="L48" s="52">
        <v>4</v>
      </c>
      <c r="M48" s="206" t="s">
        <v>284</v>
      </c>
    </row>
    <row r="49" spans="2:13">
      <c r="B49" s="8"/>
      <c r="C49" s="52"/>
      <c r="D49" s="52"/>
      <c r="E49" s="52"/>
      <c r="F49" s="52"/>
      <c r="G49" s="52"/>
      <c r="H49" s="52"/>
      <c r="I49" s="52"/>
      <c r="J49" s="52"/>
      <c r="K49" s="52"/>
      <c r="L49" s="52"/>
      <c r="M49" s="206"/>
    </row>
    <row r="50" spans="2:13">
      <c r="B50" s="8" t="s">
        <v>162</v>
      </c>
      <c r="C50" s="52">
        <v>20</v>
      </c>
      <c r="D50" s="52">
        <v>41</v>
      </c>
      <c r="E50" s="52">
        <v>11</v>
      </c>
      <c r="F50" s="52">
        <v>59</v>
      </c>
      <c r="G50" s="52">
        <v>19</v>
      </c>
      <c r="H50" s="52">
        <v>1547</v>
      </c>
      <c r="I50" s="52">
        <v>1752</v>
      </c>
      <c r="J50" s="52">
        <v>72</v>
      </c>
      <c r="K50" s="52">
        <v>591</v>
      </c>
      <c r="L50" s="52">
        <v>3</v>
      </c>
      <c r="M50" s="206" t="s">
        <v>284</v>
      </c>
    </row>
    <row r="51" spans="2:13">
      <c r="B51" s="8" t="s">
        <v>216</v>
      </c>
      <c r="C51" s="52">
        <v>18</v>
      </c>
      <c r="D51" s="52">
        <v>32</v>
      </c>
      <c r="E51" s="52">
        <v>14</v>
      </c>
      <c r="F51" s="52">
        <v>91</v>
      </c>
      <c r="G51" s="52">
        <v>65</v>
      </c>
      <c r="H51" s="52">
        <v>1532</v>
      </c>
      <c r="I51" s="52">
        <v>1723</v>
      </c>
      <c r="J51" s="52">
        <v>18</v>
      </c>
      <c r="K51" s="52">
        <v>537</v>
      </c>
      <c r="L51" s="52">
        <v>1</v>
      </c>
      <c r="M51" s="206" t="s">
        <v>284</v>
      </c>
    </row>
    <row r="52" spans="2:13">
      <c r="B52" s="8" t="s">
        <v>217</v>
      </c>
      <c r="C52" s="52">
        <v>24</v>
      </c>
      <c r="D52" s="52">
        <v>23</v>
      </c>
      <c r="E52" s="52">
        <v>5</v>
      </c>
      <c r="F52" s="52">
        <v>72</v>
      </c>
      <c r="G52" s="52">
        <v>8</v>
      </c>
      <c r="H52" s="52">
        <v>1630</v>
      </c>
      <c r="I52" s="52">
        <v>1827</v>
      </c>
      <c r="J52" s="52">
        <v>10</v>
      </c>
      <c r="K52" s="52">
        <v>559</v>
      </c>
      <c r="L52" s="52">
        <v>7</v>
      </c>
      <c r="M52" s="206" t="s">
        <v>284</v>
      </c>
    </row>
    <row r="53" spans="2:13">
      <c r="B53" s="8" t="s">
        <v>218</v>
      </c>
      <c r="C53" s="52">
        <v>21</v>
      </c>
      <c r="D53" s="52">
        <v>11</v>
      </c>
      <c r="E53" s="52">
        <v>9</v>
      </c>
      <c r="F53" s="52">
        <v>101</v>
      </c>
      <c r="G53" s="52">
        <v>89</v>
      </c>
      <c r="H53" s="52">
        <v>1588</v>
      </c>
      <c r="I53" s="52">
        <v>1802</v>
      </c>
      <c r="J53" s="52">
        <v>27</v>
      </c>
      <c r="K53" s="52">
        <v>579</v>
      </c>
      <c r="L53" s="52">
        <v>3</v>
      </c>
      <c r="M53" s="206" t="s">
        <v>284</v>
      </c>
    </row>
    <row r="54" spans="2:13">
      <c r="B54" s="8" t="s">
        <v>219</v>
      </c>
      <c r="C54" s="52">
        <v>32</v>
      </c>
      <c r="D54" s="52">
        <v>7</v>
      </c>
      <c r="E54" s="52">
        <v>7</v>
      </c>
      <c r="F54" s="52">
        <v>33</v>
      </c>
      <c r="G54" s="52">
        <v>49</v>
      </c>
      <c r="H54" s="52">
        <v>1544</v>
      </c>
      <c r="I54" s="52">
        <v>1748</v>
      </c>
      <c r="J54" s="52">
        <v>45</v>
      </c>
      <c r="K54" s="52">
        <v>543</v>
      </c>
      <c r="L54" s="52">
        <v>2</v>
      </c>
      <c r="M54" s="206" t="s">
        <v>284</v>
      </c>
    </row>
    <row r="55" spans="2:13">
      <c r="B55" s="8" t="s">
        <v>220</v>
      </c>
      <c r="C55" s="52">
        <v>46</v>
      </c>
      <c r="D55" s="52">
        <v>9</v>
      </c>
      <c r="E55" s="52">
        <v>3</v>
      </c>
      <c r="F55" s="52">
        <v>36</v>
      </c>
      <c r="G55" s="52">
        <v>10</v>
      </c>
      <c r="H55" s="52">
        <v>1591</v>
      </c>
      <c r="I55" s="52">
        <v>1758</v>
      </c>
      <c r="J55" s="52">
        <v>20</v>
      </c>
      <c r="K55" s="52">
        <v>527</v>
      </c>
      <c r="L55" s="52">
        <v>2</v>
      </c>
      <c r="M55" s="206" t="s">
        <v>284</v>
      </c>
    </row>
    <row r="56" spans="2:13">
      <c r="B56" s="8" t="s">
        <v>221</v>
      </c>
      <c r="C56" s="52">
        <v>27</v>
      </c>
      <c r="D56" s="52">
        <v>3</v>
      </c>
      <c r="E56" s="52">
        <v>6</v>
      </c>
      <c r="F56" s="52">
        <v>44</v>
      </c>
      <c r="G56" s="52">
        <v>47</v>
      </c>
      <c r="H56" s="52">
        <v>1645</v>
      </c>
      <c r="I56" s="52">
        <v>1843</v>
      </c>
      <c r="J56" s="52">
        <v>89</v>
      </c>
      <c r="K56" s="52">
        <v>547</v>
      </c>
      <c r="L56" s="206" t="s">
        <v>284</v>
      </c>
      <c r="M56" s="206" t="s">
        <v>284</v>
      </c>
    </row>
    <row r="57" spans="2:13">
      <c r="B57" s="8" t="s">
        <v>222</v>
      </c>
      <c r="C57" s="52">
        <v>23</v>
      </c>
      <c r="D57" s="52">
        <v>6</v>
      </c>
      <c r="E57" s="52">
        <v>5</v>
      </c>
      <c r="F57" s="52">
        <v>63</v>
      </c>
      <c r="G57" s="52">
        <v>5</v>
      </c>
      <c r="H57" s="52">
        <v>1483</v>
      </c>
      <c r="I57" s="52">
        <v>1643</v>
      </c>
      <c r="J57" s="52">
        <v>29</v>
      </c>
      <c r="K57" s="52">
        <v>502</v>
      </c>
      <c r="L57" s="206">
        <v>3</v>
      </c>
      <c r="M57" s="206" t="s">
        <v>284</v>
      </c>
    </row>
    <row r="58" spans="2:13">
      <c r="B58" s="8" t="s">
        <v>223</v>
      </c>
      <c r="C58" s="52">
        <v>8</v>
      </c>
      <c r="D58" s="206">
        <v>1</v>
      </c>
      <c r="E58" s="52">
        <v>4</v>
      </c>
      <c r="F58" s="52">
        <v>9</v>
      </c>
      <c r="G58" s="52">
        <v>43</v>
      </c>
      <c r="H58" s="52">
        <v>1395</v>
      </c>
      <c r="I58" s="52">
        <v>1561</v>
      </c>
      <c r="J58" s="52">
        <v>54</v>
      </c>
      <c r="K58" s="52">
        <v>512</v>
      </c>
      <c r="L58" s="206" t="s">
        <v>284</v>
      </c>
      <c r="M58" s="206" t="s">
        <v>284</v>
      </c>
    </row>
    <row r="59" spans="2:13">
      <c r="B59" s="8" t="s">
        <v>224</v>
      </c>
      <c r="C59" s="52">
        <v>11</v>
      </c>
      <c r="D59" s="206">
        <v>4</v>
      </c>
      <c r="E59" s="52">
        <v>1</v>
      </c>
      <c r="F59" s="52">
        <v>22</v>
      </c>
      <c r="G59" s="52">
        <v>33</v>
      </c>
      <c r="H59" s="52">
        <v>1254</v>
      </c>
      <c r="I59" s="52">
        <v>1400</v>
      </c>
      <c r="J59" s="52">
        <v>216</v>
      </c>
      <c r="K59" s="52">
        <v>455</v>
      </c>
      <c r="L59" s="206" t="s">
        <v>284</v>
      </c>
      <c r="M59" s="206" t="s">
        <v>284</v>
      </c>
    </row>
    <row r="60" spans="2:13">
      <c r="B60" s="8"/>
      <c r="C60" s="52"/>
      <c r="D60" s="206"/>
      <c r="E60" s="52"/>
      <c r="F60" s="52"/>
      <c r="G60" s="52"/>
      <c r="H60" s="52"/>
      <c r="I60" s="52"/>
      <c r="J60" s="52"/>
      <c r="K60" s="52"/>
      <c r="L60" s="52"/>
      <c r="M60" s="206"/>
    </row>
    <row r="61" spans="2:13">
      <c r="B61" s="8" t="s">
        <v>163</v>
      </c>
      <c r="C61" s="52">
        <v>2</v>
      </c>
      <c r="D61" s="206">
        <v>1</v>
      </c>
      <c r="E61" s="52">
        <v>5</v>
      </c>
      <c r="F61" s="52">
        <v>28</v>
      </c>
      <c r="G61" s="52">
        <v>28</v>
      </c>
      <c r="H61" s="52">
        <v>1134</v>
      </c>
      <c r="I61" s="52">
        <v>1270</v>
      </c>
      <c r="J61" s="52">
        <v>128</v>
      </c>
      <c r="K61" s="52">
        <v>325</v>
      </c>
      <c r="L61" s="52">
        <v>1</v>
      </c>
      <c r="M61" s="206" t="s">
        <v>284</v>
      </c>
    </row>
    <row r="62" spans="2:13">
      <c r="B62" s="8" t="s">
        <v>225</v>
      </c>
      <c r="C62" s="52">
        <v>6</v>
      </c>
      <c r="D62" s="206" t="s">
        <v>284</v>
      </c>
      <c r="E62" s="52">
        <v>1</v>
      </c>
      <c r="F62" s="52">
        <v>21</v>
      </c>
      <c r="G62" s="52">
        <v>11</v>
      </c>
      <c r="H62" s="52">
        <v>1049</v>
      </c>
      <c r="I62" s="52">
        <v>1154</v>
      </c>
      <c r="J62" s="52">
        <v>67</v>
      </c>
      <c r="K62" s="52">
        <v>299</v>
      </c>
      <c r="L62" s="52">
        <v>1</v>
      </c>
      <c r="M62" s="206" t="s">
        <v>284</v>
      </c>
    </row>
    <row r="63" spans="2:13">
      <c r="B63" s="8" t="s">
        <v>226</v>
      </c>
      <c r="C63" s="52">
        <v>2</v>
      </c>
      <c r="D63" s="206" t="s">
        <v>284</v>
      </c>
      <c r="E63" s="206" t="s">
        <v>284</v>
      </c>
      <c r="F63" s="52">
        <v>8</v>
      </c>
      <c r="G63" s="52">
        <v>17</v>
      </c>
      <c r="H63" s="52">
        <v>689</v>
      </c>
      <c r="I63" s="52">
        <v>775</v>
      </c>
      <c r="J63" s="52">
        <v>213</v>
      </c>
      <c r="K63" s="52">
        <v>174</v>
      </c>
      <c r="L63" s="52">
        <v>2</v>
      </c>
      <c r="M63" s="206" t="s">
        <v>284</v>
      </c>
    </row>
    <row r="64" spans="2:13">
      <c r="B64" s="8" t="s">
        <v>227</v>
      </c>
      <c r="C64" s="52">
        <v>2</v>
      </c>
      <c r="D64" s="206">
        <v>1</v>
      </c>
      <c r="E64" s="206" t="s">
        <v>284</v>
      </c>
      <c r="F64" s="52">
        <v>11</v>
      </c>
      <c r="G64" s="52">
        <v>16</v>
      </c>
      <c r="H64" s="52">
        <v>536</v>
      </c>
      <c r="I64" s="52">
        <v>607</v>
      </c>
      <c r="J64" s="52">
        <v>108</v>
      </c>
      <c r="K64" s="52">
        <v>182</v>
      </c>
      <c r="L64" s="52">
        <v>1</v>
      </c>
      <c r="M64" s="206" t="s">
        <v>284</v>
      </c>
    </row>
    <row r="65" spans="2:13">
      <c r="B65" s="8" t="s">
        <v>228</v>
      </c>
      <c r="C65" s="52">
        <v>3</v>
      </c>
      <c r="D65" s="206">
        <v>3</v>
      </c>
      <c r="E65" s="206" t="s">
        <v>284</v>
      </c>
      <c r="F65" s="52">
        <v>17</v>
      </c>
      <c r="G65" s="52">
        <v>17</v>
      </c>
      <c r="H65" s="52">
        <v>471</v>
      </c>
      <c r="I65" s="52">
        <v>530</v>
      </c>
      <c r="J65" s="52">
        <v>89</v>
      </c>
      <c r="K65" s="52">
        <v>139</v>
      </c>
      <c r="L65" s="52">
        <v>2</v>
      </c>
      <c r="M65" s="206" t="s">
        <v>284</v>
      </c>
    </row>
    <row r="66" spans="2:13">
      <c r="B66" s="8" t="s">
        <v>229</v>
      </c>
      <c r="C66" s="52">
        <v>1</v>
      </c>
      <c r="D66" s="206">
        <v>1</v>
      </c>
      <c r="E66" s="206">
        <v>1</v>
      </c>
      <c r="F66" s="52">
        <v>8</v>
      </c>
      <c r="G66" s="52">
        <v>10</v>
      </c>
      <c r="H66" s="52">
        <v>435</v>
      </c>
      <c r="I66" s="52">
        <v>477</v>
      </c>
      <c r="J66" s="52">
        <v>32</v>
      </c>
      <c r="K66" s="52">
        <v>115</v>
      </c>
      <c r="L66" s="52">
        <v>1</v>
      </c>
      <c r="M66" s="206" t="s">
        <v>284</v>
      </c>
    </row>
    <row r="67" spans="2:13">
      <c r="B67" s="8" t="s">
        <v>230</v>
      </c>
      <c r="C67" s="52">
        <v>6</v>
      </c>
      <c r="D67" s="206">
        <v>3</v>
      </c>
      <c r="E67" s="206" t="s">
        <v>284</v>
      </c>
      <c r="F67" s="52">
        <v>6</v>
      </c>
      <c r="G67" s="52">
        <v>26</v>
      </c>
      <c r="H67" s="52">
        <v>426</v>
      </c>
      <c r="I67" s="52">
        <v>466</v>
      </c>
      <c r="J67" s="52">
        <v>22</v>
      </c>
      <c r="K67" s="52">
        <v>114</v>
      </c>
      <c r="L67" s="52">
        <v>4</v>
      </c>
      <c r="M67" s="206" t="s">
        <v>284</v>
      </c>
    </row>
    <row r="68" spans="2:13">
      <c r="B68" s="8" t="s">
        <v>231</v>
      </c>
      <c r="C68" s="52">
        <v>1</v>
      </c>
      <c r="D68" s="206" t="s">
        <v>284</v>
      </c>
      <c r="E68" s="206" t="s">
        <v>284</v>
      </c>
      <c r="F68" s="52">
        <v>6</v>
      </c>
      <c r="G68" s="52">
        <v>23</v>
      </c>
      <c r="H68" s="52">
        <v>403</v>
      </c>
      <c r="I68" s="52">
        <v>442</v>
      </c>
      <c r="J68" s="52">
        <v>15</v>
      </c>
      <c r="K68" s="52">
        <v>105</v>
      </c>
      <c r="L68" s="52">
        <v>4</v>
      </c>
      <c r="M68" s="206" t="s">
        <v>284</v>
      </c>
    </row>
    <row r="69" spans="2:13">
      <c r="B69" s="8" t="s">
        <v>232</v>
      </c>
      <c r="C69" s="206" t="s">
        <v>426</v>
      </c>
      <c r="D69" s="206" t="s">
        <v>284</v>
      </c>
      <c r="E69" s="206" t="s">
        <v>284</v>
      </c>
      <c r="F69" s="52">
        <v>1</v>
      </c>
      <c r="G69" s="52">
        <v>18</v>
      </c>
      <c r="H69" s="52">
        <v>357</v>
      </c>
      <c r="I69" s="52">
        <v>395</v>
      </c>
      <c r="J69" s="52">
        <v>37</v>
      </c>
      <c r="K69" s="52">
        <v>84</v>
      </c>
      <c r="L69" s="52">
        <v>8</v>
      </c>
      <c r="M69" s="206" t="s">
        <v>284</v>
      </c>
    </row>
    <row r="70" spans="2:13">
      <c r="B70" s="8" t="s">
        <v>233</v>
      </c>
      <c r="C70" s="52">
        <v>1</v>
      </c>
      <c r="D70" s="206">
        <v>2</v>
      </c>
      <c r="E70" s="206">
        <v>1</v>
      </c>
      <c r="F70" s="52">
        <v>5</v>
      </c>
      <c r="G70" s="52">
        <v>11</v>
      </c>
      <c r="H70" s="52">
        <v>335</v>
      </c>
      <c r="I70" s="52">
        <v>370</v>
      </c>
      <c r="J70" s="52">
        <v>17</v>
      </c>
      <c r="K70" s="52">
        <v>84</v>
      </c>
      <c r="L70" s="52">
        <v>4</v>
      </c>
      <c r="M70" s="206" t="s">
        <v>284</v>
      </c>
    </row>
    <row r="71" spans="2:13">
      <c r="B71" s="11"/>
      <c r="C71" s="52"/>
      <c r="D71" s="52"/>
      <c r="E71" s="52"/>
      <c r="F71" s="52"/>
      <c r="G71" s="52"/>
      <c r="H71" s="52"/>
      <c r="I71" s="52"/>
      <c r="J71" s="52"/>
      <c r="K71" s="52"/>
      <c r="L71" s="52"/>
      <c r="M71" s="206"/>
    </row>
    <row r="72" spans="2:13">
      <c r="B72" s="8" t="s">
        <v>164</v>
      </c>
      <c r="C72" s="52">
        <v>2</v>
      </c>
      <c r="D72" s="206">
        <v>1</v>
      </c>
      <c r="E72" s="206" t="s">
        <v>284</v>
      </c>
      <c r="F72" s="52">
        <v>1</v>
      </c>
      <c r="G72" s="52">
        <v>17</v>
      </c>
      <c r="H72" s="52">
        <v>364</v>
      </c>
      <c r="I72" s="52">
        <v>390</v>
      </c>
      <c r="J72" s="52">
        <v>4</v>
      </c>
      <c r="K72" s="52">
        <v>79</v>
      </c>
      <c r="L72" s="52">
        <v>7</v>
      </c>
      <c r="M72" s="206" t="s">
        <v>284</v>
      </c>
    </row>
    <row r="73" spans="2:13">
      <c r="B73" s="8" t="s">
        <v>234</v>
      </c>
      <c r="C73" s="52">
        <v>1</v>
      </c>
      <c r="D73" s="206">
        <v>1</v>
      </c>
      <c r="E73" s="206" t="s">
        <v>284</v>
      </c>
      <c r="F73" s="52">
        <v>2</v>
      </c>
      <c r="G73" s="52">
        <v>13</v>
      </c>
      <c r="H73" s="52">
        <v>307</v>
      </c>
      <c r="I73" s="52">
        <v>332</v>
      </c>
      <c r="J73" s="206" t="s">
        <v>284</v>
      </c>
      <c r="K73" s="52">
        <v>71</v>
      </c>
      <c r="L73" s="52">
        <v>7</v>
      </c>
      <c r="M73" s="206" t="s">
        <v>284</v>
      </c>
    </row>
    <row r="74" spans="2:13">
      <c r="B74" s="8" t="s">
        <v>235</v>
      </c>
      <c r="C74" s="52">
        <v>2</v>
      </c>
      <c r="D74" s="206">
        <v>1</v>
      </c>
      <c r="E74" s="206" t="s">
        <v>284</v>
      </c>
      <c r="F74" s="52">
        <v>2</v>
      </c>
      <c r="G74" s="52">
        <v>8</v>
      </c>
      <c r="H74" s="52">
        <v>307</v>
      </c>
      <c r="I74" s="52">
        <v>331</v>
      </c>
      <c r="J74" s="52">
        <v>2</v>
      </c>
      <c r="K74" s="52">
        <v>94</v>
      </c>
      <c r="L74" s="52">
        <v>3</v>
      </c>
      <c r="M74" s="206" t="s">
        <v>284</v>
      </c>
    </row>
    <row r="75" spans="2:13">
      <c r="B75" s="8" t="s">
        <v>236</v>
      </c>
      <c r="C75" s="206" t="s">
        <v>426</v>
      </c>
      <c r="D75" s="206" t="s">
        <v>284</v>
      </c>
      <c r="E75" s="206" t="s">
        <v>284</v>
      </c>
      <c r="F75" s="206" t="s">
        <v>284</v>
      </c>
      <c r="G75" s="52">
        <v>27</v>
      </c>
      <c r="H75" s="52">
        <v>276</v>
      </c>
      <c r="I75" s="52">
        <v>299</v>
      </c>
      <c r="J75" s="52">
        <v>1</v>
      </c>
      <c r="K75" s="52">
        <v>72</v>
      </c>
      <c r="L75" s="52">
        <v>1</v>
      </c>
      <c r="M75" s="206" t="s">
        <v>284</v>
      </c>
    </row>
    <row r="76" spans="2:13">
      <c r="B76" s="8" t="s">
        <v>237</v>
      </c>
      <c r="C76" s="206" t="s">
        <v>426</v>
      </c>
      <c r="D76" s="206" t="s">
        <v>284</v>
      </c>
      <c r="E76" s="206" t="s">
        <v>284</v>
      </c>
      <c r="F76" s="52">
        <v>2</v>
      </c>
      <c r="G76" s="52">
        <v>11</v>
      </c>
      <c r="H76" s="52">
        <v>288</v>
      </c>
      <c r="I76" s="52">
        <v>315</v>
      </c>
      <c r="J76" s="52">
        <v>1</v>
      </c>
      <c r="K76" s="52">
        <v>66</v>
      </c>
      <c r="L76" s="52">
        <v>3</v>
      </c>
      <c r="M76" s="206" t="s">
        <v>284</v>
      </c>
    </row>
    <row r="77" spans="2:13">
      <c r="B77" s="8" t="s">
        <v>238</v>
      </c>
      <c r="C77" s="206" t="s">
        <v>284</v>
      </c>
      <c r="D77" s="206" t="s">
        <v>284</v>
      </c>
      <c r="E77" s="206" t="s">
        <v>284</v>
      </c>
      <c r="F77" s="206" t="s">
        <v>284</v>
      </c>
      <c r="G77" s="52">
        <v>5</v>
      </c>
      <c r="H77" s="52">
        <v>261</v>
      </c>
      <c r="I77" s="52">
        <v>285</v>
      </c>
      <c r="J77" s="206" t="s">
        <v>284</v>
      </c>
      <c r="K77" s="52">
        <v>65</v>
      </c>
      <c r="L77" s="52">
        <v>2</v>
      </c>
      <c r="M77" s="206" t="s">
        <v>284</v>
      </c>
    </row>
    <row r="78" spans="2:13">
      <c r="B78" s="8" t="s">
        <v>239</v>
      </c>
      <c r="C78" s="206">
        <v>1</v>
      </c>
      <c r="D78" s="206" t="s">
        <v>284</v>
      </c>
      <c r="E78" s="206" t="s">
        <v>284</v>
      </c>
      <c r="F78" s="206" t="s">
        <v>284</v>
      </c>
      <c r="G78" s="52">
        <v>7</v>
      </c>
      <c r="H78" s="52">
        <v>284</v>
      </c>
      <c r="I78" s="52">
        <v>301</v>
      </c>
      <c r="J78" s="206" t="s">
        <v>284</v>
      </c>
      <c r="K78" s="52">
        <v>63</v>
      </c>
      <c r="L78" s="206" t="s">
        <v>284</v>
      </c>
      <c r="M78" s="206" t="s">
        <v>284</v>
      </c>
    </row>
    <row r="79" spans="2:13">
      <c r="B79" s="8" t="s">
        <v>240</v>
      </c>
      <c r="C79" s="206" t="s">
        <v>284</v>
      </c>
      <c r="D79" s="206" t="s">
        <v>284</v>
      </c>
      <c r="E79" s="206" t="s">
        <v>284</v>
      </c>
      <c r="F79" s="206" t="s">
        <v>284</v>
      </c>
      <c r="G79" s="52">
        <v>3</v>
      </c>
      <c r="H79" s="52">
        <v>206</v>
      </c>
      <c r="I79" s="52">
        <v>226</v>
      </c>
      <c r="J79" s="206" t="s">
        <v>284</v>
      </c>
      <c r="K79" s="52">
        <v>44</v>
      </c>
      <c r="L79" s="52">
        <v>1</v>
      </c>
      <c r="M79" s="206" t="s">
        <v>284</v>
      </c>
    </row>
    <row r="80" spans="2:13">
      <c r="B80" s="8" t="s">
        <v>241</v>
      </c>
      <c r="C80" s="206" t="s">
        <v>284</v>
      </c>
      <c r="D80" s="206">
        <v>1</v>
      </c>
      <c r="E80" s="206" t="s">
        <v>284</v>
      </c>
      <c r="F80" s="206" t="s">
        <v>284</v>
      </c>
      <c r="G80" s="206" t="s">
        <v>284</v>
      </c>
      <c r="H80" s="52">
        <v>203</v>
      </c>
      <c r="I80" s="52">
        <v>262</v>
      </c>
      <c r="J80" s="52">
        <v>2</v>
      </c>
      <c r="K80" s="52">
        <v>29</v>
      </c>
      <c r="L80" s="206" t="s">
        <v>284</v>
      </c>
      <c r="M80" s="206" t="s">
        <v>284</v>
      </c>
    </row>
    <row r="81" spans="2:13">
      <c r="B81" s="8" t="s">
        <v>242</v>
      </c>
      <c r="C81" s="206" t="s">
        <v>284</v>
      </c>
      <c r="D81" s="206" t="s">
        <v>284</v>
      </c>
      <c r="E81" s="206" t="s">
        <v>284</v>
      </c>
      <c r="F81" s="206" t="s">
        <v>284</v>
      </c>
      <c r="G81" s="206" t="s">
        <v>284</v>
      </c>
      <c r="H81" s="52">
        <v>147</v>
      </c>
      <c r="I81" s="52">
        <v>201</v>
      </c>
      <c r="J81" s="206" t="s">
        <v>284</v>
      </c>
      <c r="K81" s="52">
        <v>26</v>
      </c>
      <c r="L81" s="52">
        <v>1</v>
      </c>
      <c r="M81" s="206" t="s">
        <v>284</v>
      </c>
    </row>
    <row r="82" spans="2:13">
      <c r="B82" s="11"/>
      <c r="C82" s="52"/>
      <c r="D82" s="52"/>
      <c r="E82" s="206"/>
      <c r="F82" s="206"/>
      <c r="G82" s="206"/>
      <c r="H82" s="52"/>
      <c r="I82" s="52"/>
      <c r="J82" s="206"/>
      <c r="K82" s="52"/>
      <c r="L82" s="52"/>
      <c r="M82" s="206"/>
    </row>
    <row r="83" spans="2:13">
      <c r="B83" s="8" t="s">
        <v>165</v>
      </c>
      <c r="C83" s="206" t="s">
        <v>284</v>
      </c>
      <c r="D83" s="206">
        <v>2</v>
      </c>
      <c r="E83" s="206" t="s">
        <v>284</v>
      </c>
      <c r="F83" s="206" t="s">
        <v>284</v>
      </c>
      <c r="G83" s="206">
        <v>1</v>
      </c>
      <c r="H83" s="52">
        <v>134</v>
      </c>
      <c r="I83" s="52">
        <v>180</v>
      </c>
      <c r="J83" s="206" t="s">
        <v>284</v>
      </c>
      <c r="K83" s="52">
        <v>17</v>
      </c>
      <c r="L83" s="52">
        <v>2</v>
      </c>
      <c r="M83" s="206" t="s">
        <v>284</v>
      </c>
    </row>
    <row r="84" spans="2:13">
      <c r="B84" s="8" t="s">
        <v>243</v>
      </c>
      <c r="C84" s="206" t="s">
        <v>284</v>
      </c>
      <c r="D84" s="206">
        <v>4</v>
      </c>
      <c r="E84" s="206" t="s">
        <v>284</v>
      </c>
      <c r="F84" s="206" t="s">
        <v>284</v>
      </c>
      <c r="G84" s="206" t="s">
        <v>284</v>
      </c>
      <c r="H84" s="52">
        <v>122</v>
      </c>
      <c r="I84" s="52">
        <v>173</v>
      </c>
      <c r="J84" s="206" t="s">
        <v>284</v>
      </c>
      <c r="K84" s="52">
        <v>18</v>
      </c>
      <c r="L84" s="206" t="s">
        <v>284</v>
      </c>
      <c r="M84" s="206" t="s">
        <v>284</v>
      </c>
    </row>
    <row r="85" spans="2:13">
      <c r="B85" s="8" t="s">
        <v>244</v>
      </c>
      <c r="C85" s="206" t="s">
        <v>284</v>
      </c>
      <c r="D85" s="206">
        <v>1</v>
      </c>
      <c r="E85" s="206">
        <v>1</v>
      </c>
      <c r="F85" s="206" t="s">
        <v>284</v>
      </c>
      <c r="G85" s="206" t="s">
        <v>284</v>
      </c>
      <c r="H85" s="52">
        <v>111</v>
      </c>
      <c r="I85" s="52">
        <v>157</v>
      </c>
      <c r="J85" s="52">
        <v>1</v>
      </c>
      <c r="K85" s="52">
        <v>12</v>
      </c>
      <c r="L85" s="206" t="s">
        <v>284</v>
      </c>
      <c r="M85" s="206" t="s">
        <v>284</v>
      </c>
    </row>
    <row r="86" spans="2:13">
      <c r="B86" s="8" t="s">
        <v>245</v>
      </c>
      <c r="C86" s="206" t="s">
        <v>284</v>
      </c>
      <c r="D86" s="206" t="s">
        <v>284</v>
      </c>
      <c r="E86" s="206" t="s">
        <v>284</v>
      </c>
      <c r="F86" s="52">
        <v>1</v>
      </c>
      <c r="G86" s="206">
        <v>2</v>
      </c>
      <c r="H86" s="52">
        <v>101</v>
      </c>
      <c r="I86" s="52">
        <v>138</v>
      </c>
      <c r="J86" s="206">
        <v>3</v>
      </c>
      <c r="K86" s="52">
        <v>12</v>
      </c>
      <c r="L86" s="206" t="s">
        <v>284</v>
      </c>
      <c r="M86" s="206" t="s">
        <v>284</v>
      </c>
    </row>
    <row r="87" spans="2:13">
      <c r="B87" s="8" t="s">
        <v>246</v>
      </c>
      <c r="C87" s="206" t="s">
        <v>284</v>
      </c>
      <c r="D87" s="206">
        <v>1</v>
      </c>
      <c r="E87" s="206" t="s">
        <v>284</v>
      </c>
      <c r="F87" s="52">
        <v>2</v>
      </c>
      <c r="G87" s="206" t="s">
        <v>284</v>
      </c>
      <c r="H87" s="52">
        <v>109</v>
      </c>
      <c r="I87" s="52">
        <v>142</v>
      </c>
      <c r="J87" s="52">
        <v>3</v>
      </c>
      <c r="K87" s="52">
        <v>11</v>
      </c>
      <c r="L87" s="206" t="s">
        <v>284</v>
      </c>
      <c r="M87" s="206" t="s">
        <v>284</v>
      </c>
    </row>
    <row r="88" spans="2:13">
      <c r="B88" s="8" t="s">
        <v>247</v>
      </c>
      <c r="C88" s="206" t="s">
        <v>284</v>
      </c>
      <c r="D88" s="206" t="s">
        <v>284</v>
      </c>
      <c r="E88" s="206" t="s">
        <v>284</v>
      </c>
      <c r="F88" s="52">
        <v>1</v>
      </c>
      <c r="G88" s="206">
        <v>1</v>
      </c>
      <c r="H88" s="52">
        <v>81</v>
      </c>
      <c r="I88" s="52">
        <v>110</v>
      </c>
      <c r="J88" s="206">
        <v>5</v>
      </c>
      <c r="K88" s="52">
        <v>10</v>
      </c>
      <c r="L88" s="206">
        <v>1</v>
      </c>
      <c r="M88" s="206" t="s">
        <v>284</v>
      </c>
    </row>
    <row r="89" spans="2:13">
      <c r="B89" s="8" t="s">
        <v>248</v>
      </c>
      <c r="C89" s="206" t="s">
        <v>284</v>
      </c>
      <c r="D89" s="206" t="s">
        <v>284</v>
      </c>
      <c r="E89" s="206" t="s">
        <v>284</v>
      </c>
      <c r="F89" s="206" t="s">
        <v>284</v>
      </c>
      <c r="G89" s="206" t="s">
        <v>284</v>
      </c>
      <c r="H89" s="52">
        <v>80</v>
      </c>
      <c r="I89" s="52">
        <v>102</v>
      </c>
      <c r="J89" s="52">
        <v>6</v>
      </c>
      <c r="K89" s="52">
        <v>11</v>
      </c>
      <c r="L89" s="206" t="s">
        <v>284</v>
      </c>
      <c r="M89" s="206" t="s">
        <v>284</v>
      </c>
    </row>
    <row r="90" spans="2:13">
      <c r="B90" s="8" t="s">
        <v>249</v>
      </c>
      <c r="C90" s="206" t="s">
        <v>284</v>
      </c>
      <c r="D90" s="206">
        <v>1</v>
      </c>
      <c r="E90" s="206" t="s">
        <v>284</v>
      </c>
      <c r="F90" s="206" t="s">
        <v>284</v>
      </c>
      <c r="G90" s="206" t="s">
        <v>284</v>
      </c>
      <c r="H90" s="52">
        <v>67</v>
      </c>
      <c r="I90" s="52">
        <v>97</v>
      </c>
      <c r="J90" s="206">
        <v>6</v>
      </c>
      <c r="K90" s="52">
        <v>3</v>
      </c>
      <c r="L90" s="206" t="s">
        <v>284</v>
      </c>
      <c r="M90" s="206" t="s">
        <v>284</v>
      </c>
    </row>
    <row r="91" spans="2:13">
      <c r="B91" s="8" t="s">
        <v>250</v>
      </c>
      <c r="C91" s="206" t="s">
        <v>284</v>
      </c>
      <c r="D91" s="206" t="s">
        <v>284</v>
      </c>
      <c r="E91" s="206" t="s">
        <v>284</v>
      </c>
      <c r="F91" s="52">
        <v>1</v>
      </c>
      <c r="G91" s="206">
        <v>1</v>
      </c>
      <c r="H91" s="52">
        <v>60</v>
      </c>
      <c r="I91" s="52">
        <v>80</v>
      </c>
      <c r="J91" s="52">
        <v>2</v>
      </c>
      <c r="K91" s="52">
        <v>5</v>
      </c>
      <c r="L91" s="206" t="s">
        <v>284</v>
      </c>
      <c r="M91" s="206" t="s">
        <v>284</v>
      </c>
    </row>
    <row r="92" spans="2:13">
      <c r="B92" s="8" t="s">
        <v>251</v>
      </c>
      <c r="C92" s="206" t="s">
        <v>284</v>
      </c>
      <c r="D92" s="206" t="s">
        <v>284</v>
      </c>
      <c r="E92" s="206" t="s">
        <v>284</v>
      </c>
      <c r="F92" s="206" t="s">
        <v>284</v>
      </c>
      <c r="G92" s="206" t="s">
        <v>284</v>
      </c>
      <c r="H92" s="52">
        <v>47</v>
      </c>
      <c r="I92" s="52">
        <v>62</v>
      </c>
      <c r="J92" s="206">
        <v>2</v>
      </c>
      <c r="K92" s="52">
        <v>9</v>
      </c>
      <c r="L92" s="206" t="s">
        <v>284</v>
      </c>
      <c r="M92" s="206" t="s">
        <v>284</v>
      </c>
    </row>
    <row r="93" spans="2:13">
      <c r="B93" s="11"/>
      <c r="C93" s="206"/>
      <c r="D93" s="207"/>
      <c r="E93" s="206"/>
      <c r="F93" s="206"/>
      <c r="G93" s="206"/>
      <c r="H93" s="207"/>
      <c r="I93" s="207"/>
      <c r="J93" s="50"/>
      <c r="K93" s="50"/>
      <c r="L93" s="207"/>
      <c r="M93" s="206"/>
    </row>
    <row r="94" spans="2:13">
      <c r="B94" s="8" t="s">
        <v>166</v>
      </c>
      <c r="C94" s="206" t="s">
        <v>284</v>
      </c>
      <c r="D94" s="206" t="s">
        <v>284</v>
      </c>
      <c r="E94" s="206" t="s">
        <v>284</v>
      </c>
      <c r="F94" s="206" t="s">
        <v>284</v>
      </c>
      <c r="G94" s="206" t="s">
        <v>284</v>
      </c>
      <c r="H94" s="52">
        <v>51</v>
      </c>
      <c r="I94" s="52">
        <v>61</v>
      </c>
      <c r="J94" s="206" t="s">
        <v>284</v>
      </c>
      <c r="K94" s="52">
        <v>1</v>
      </c>
      <c r="L94" s="52">
        <v>1</v>
      </c>
      <c r="M94" s="206" t="s">
        <v>284</v>
      </c>
    </row>
    <row r="95" spans="2:13">
      <c r="B95" s="8" t="s">
        <v>252</v>
      </c>
      <c r="C95" s="206" t="s">
        <v>284</v>
      </c>
      <c r="D95" s="206" t="s">
        <v>284</v>
      </c>
      <c r="E95" s="206">
        <v>1</v>
      </c>
      <c r="F95" s="206" t="s">
        <v>284</v>
      </c>
      <c r="G95" s="206" t="s">
        <v>284</v>
      </c>
      <c r="H95" s="52">
        <v>41</v>
      </c>
      <c r="I95" s="52">
        <v>53</v>
      </c>
      <c r="J95" s="206" t="s">
        <v>284</v>
      </c>
      <c r="K95" s="52">
        <v>4</v>
      </c>
      <c r="L95" s="52">
        <v>1</v>
      </c>
      <c r="M95" s="206" t="s">
        <v>284</v>
      </c>
    </row>
    <row r="96" spans="2:13">
      <c r="B96" s="8" t="s">
        <v>253</v>
      </c>
      <c r="C96" s="206" t="s">
        <v>284</v>
      </c>
      <c r="D96" s="206" t="s">
        <v>284</v>
      </c>
      <c r="E96" s="206" t="s">
        <v>284</v>
      </c>
      <c r="F96" s="206" t="s">
        <v>284</v>
      </c>
      <c r="G96" s="206">
        <v>1</v>
      </c>
      <c r="H96" s="52">
        <v>30</v>
      </c>
      <c r="I96" s="52">
        <v>41</v>
      </c>
      <c r="J96" s="206" t="s">
        <v>284</v>
      </c>
      <c r="K96" s="206" t="s">
        <v>284</v>
      </c>
      <c r="L96" s="206" t="s">
        <v>284</v>
      </c>
      <c r="M96" s="206" t="s">
        <v>284</v>
      </c>
    </row>
    <row r="97" spans="2:13">
      <c r="B97" s="8" t="s">
        <v>254</v>
      </c>
      <c r="C97" s="206" t="s">
        <v>284</v>
      </c>
      <c r="D97" s="206">
        <v>1</v>
      </c>
      <c r="E97" s="206" t="s">
        <v>284</v>
      </c>
      <c r="F97" s="206" t="s">
        <v>284</v>
      </c>
      <c r="G97" s="206">
        <v>1</v>
      </c>
      <c r="H97" s="52">
        <v>28</v>
      </c>
      <c r="I97" s="52">
        <v>39</v>
      </c>
      <c r="J97" s="206" t="s">
        <v>284</v>
      </c>
      <c r="K97" s="52">
        <v>3</v>
      </c>
      <c r="L97" s="206" t="s">
        <v>284</v>
      </c>
      <c r="M97" s="206" t="s">
        <v>284</v>
      </c>
    </row>
    <row r="98" spans="2:13">
      <c r="B98" s="8" t="s">
        <v>255</v>
      </c>
      <c r="C98" s="206" t="s">
        <v>284</v>
      </c>
      <c r="D98" s="206" t="s">
        <v>284</v>
      </c>
      <c r="E98" s="206" t="s">
        <v>284</v>
      </c>
      <c r="F98" s="206" t="s">
        <v>284</v>
      </c>
      <c r="G98" s="206" t="s">
        <v>284</v>
      </c>
      <c r="H98" s="52">
        <v>47</v>
      </c>
      <c r="I98" s="52">
        <v>59</v>
      </c>
      <c r="J98" s="206" t="s">
        <v>284</v>
      </c>
      <c r="K98" s="52">
        <v>2</v>
      </c>
      <c r="L98" s="206" t="s">
        <v>284</v>
      </c>
      <c r="M98" s="206" t="s">
        <v>284</v>
      </c>
    </row>
    <row r="99" spans="2:13">
      <c r="B99" s="8" t="s">
        <v>256</v>
      </c>
      <c r="C99" s="206" t="s">
        <v>284</v>
      </c>
      <c r="D99" s="206" t="s">
        <v>284</v>
      </c>
      <c r="E99" s="206" t="s">
        <v>284</v>
      </c>
      <c r="F99" s="206" t="s">
        <v>284</v>
      </c>
      <c r="G99" s="206" t="s">
        <v>284</v>
      </c>
      <c r="H99" s="52">
        <v>37</v>
      </c>
      <c r="I99" s="52">
        <v>46</v>
      </c>
      <c r="J99" s="206" t="s">
        <v>284</v>
      </c>
      <c r="K99" s="52">
        <v>3</v>
      </c>
      <c r="L99" s="206" t="s">
        <v>284</v>
      </c>
      <c r="M99" s="206" t="s">
        <v>284</v>
      </c>
    </row>
    <row r="100" spans="2:13">
      <c r="B100" s="8" t="s">
        <v>257</v>
      </c>
      <c r="C100" s="206" t="s">
        <v>284</v>
      </c>
      <c r="D100" s="206" t="s">
        <v>284</v>
      </c>
      <c r="E100" s="206" t="s">
        <v>284</v>
      </c>
      <c r="F100" s="206" t="s">
        <v>284</v>
      </c>
      <c r="G100" s="206" t="s">
        <v>284</v>
      </c>
      <c r="H100" s="52">
        <v>36</v>
      </c>
      <c r="I100" s="52">
        <v>44</v>
      </c>
      <c r="J100" s="206" t="s">
        <v>284</v>
      </c>
      <c r="K100" s="52">
        <v>2</v>
      </c>
      <c r="L100" s="206" t="s">
        <v>284</v>
      </c>
      <c r="M100" s="206" t="s">
        <v>284</v>
      </c>
    </row>
    <row r="101" spans="2:13">
      <c r="B101" s="8" t="s">
        <v>258</v>
      </c>
      <c r="C101" s="206" t="s">
        <v>284</v>
      </c>
      <c r="D101" s="206" t="s">
        <v>284</v>
      </c>
      <c r="E101" s="206" t="s">
        <v>284</v>
      </c>
      <c r="F101" s="206" t="s">
        <v>284</v>
      </c>
      <c r="G101" s="206" t="s">
        <v>284</v>
      </c>
      <c r="H101" s="52">
        <v>39</v>
      </c>
      <c r="I101" s="52">
        <v>46</v>
      </c>
      <c r="J101" s="206" t="s">
        <v>284</v>
      </c>
      <c r="K101" s="52">
        <v>2</v>
      </c>
      <c r="L101" s="206" t="s">
        <v>284</v>
      </c>
      <c r="M101" s="52">
        <v>160</v>
      </c>
    </row>
    <row r="102" spans="2:13">
      <c r="B102" s="8" t="s">
        <v>259</v>
      </c>
      <c r="C102" s="206" t="s">
        <v>284</v>
      </c>
      <c r="D102" s="206">
        <v>1</v>
      </c>
      <c r="E102" s="206" t="s">
        <v>284</v>
      </c>
      <c r="F102" s="206">
        <v>1</v>
      </c>
      <c r="G102" s="206" t="s">
        <v>284</v>
      </c>
      <c r="H102" s="52">
        <v>36</v>
      </c>
      <c r="I102" s="52">
        <v>42</v>
      </c>
      <c r="J102" s="206" t="s">
        <v>284</v>
      </c>
      <c r="K102" s="52">
        <v>2</v>
      </c>
      <c r="L102" s="206" t="s">
        <v>284</v>
      </c>
      <c r="M102" s="52">
        <v>216</v>
      </c>
    </row>
    <row r="103" spans="2:13">
      <c r="B103" s="8" t="s">
        <v>260</v>
      </c>
      <c r="C103" s="206" t="s">
        <v>284</v>
      </c>
      <c r="D103" s="206" t="s">
        <v>284</v>
      </c>
      <c r="E103" s="206" t="s">
        <v>284</v>
      </c>
      <c r="F103" s="206" t="s">
        <v>284</v>
      </c>
      <c r="G103" s="206" t="s">
        <v>284</v>
      </c>
      <c r="H103" s="52">
        <v>31</v>
      </c>
      <c r="I103" s="52">
        <v>32</v>
      </c>
      <c r="J103" s="206" t="s">
        <v>284</v>
      </c>
      <c r="K103" s="52">
        <v>3</v>
      </c>
      <c r="L103" s="206" t="s">
        <v>284</v>
      </c>
      <c r="M103" s="52">
        <v>329</v>
      </c>
    </row>
    <row r="104" spans="2:13">
      <c r="B104" s="11"/>
      <c r="C104" s="206"/>
      <c r="D104" s="52"/>
      <c r="E104" s="206"/>
      <c r="F104" s="206"/>
      <c r="G104" s="206"/>
      <c r="H104" s="52"/>
      <c r="I104" s="52"/>
      <c r="J104" s="206"/>
      <c r="K104" s="205"/>
      <c r="L104" s="206"/>
      <c r="M104" s="205"/>
    </row>
    <row r="105" spans="2:13">
      <c r="B105" s="8" t="s">
        <v>167</v>
      </c>
      <c r="C105" s="206" t="s">
        <v>284</v>
      </c>
      <c r="D105" s="206">
        <v>1</v>
      </c>
      <c r="E105" s="206" t="s">
        <v>284</v>
      </c>
      <c r="F105" s="206" t="s">
        <v>284</v>
      </c>
      <c r="G105" s="206" t="s">
        <v>284</v>
      </c>
      <c r="H105" s="52">
        <v>28</v>
      </c>
      <c r="I105" s="52">
        <v>43</v>
      </c>
      <c r="J105" s="206" t="s">
        <v>284</v>
      </c>
      <c r="K105" s="206" t="s">
        <v>284</v>
      </c>
      <c r="L105" s="206" t="s">
        <v>284</v>
      </c>
      <c r="M105" s="52">
        <v>373</v>
      </c>
    </row>
    <row r="106" spans="2:13">
      <c r="B106" s="8" t="s">
        <v>168</v>
      </c>
      <c r="C106" s="206" t="s">
        <v>284</v>
      </c>
      <c r="D106" s="206" t="s">
        <v>284</v>
      </c>
      <c r="E106" s="206" t="s">
        <v>284</v>
      </c>
      <c r="F106" s="206" t="s">
        <v>284</v>
      </c>
      <c r="G106" s="206" t="s">
        <v>284</v>
      </c>
      <c r="H106" s="52">
        <v>24</v>
      </c>
      <c r="I106" s="52">
        <v>41</v>
      </c>
      <c r="J106" s="206" t="s">
        <v>284</v>
      </c>
      <c r="K106" s="206" t="s">
        <v>284</v>
      </c>
      <c r="L106" s="206" t="s">
        <v>284</v>
      </c>
      <c r="M106" s="52">
        <v>465</v>
      </c>
    </row>
    <row r="107" spans="2:13">
      <c r="B107" s="8" t="s">
        <v>169</v>
      </c>
      <c r="C107" s="206" t="s">
        <v>284</v>
      </c>
      <c r="D107" s="206" t="s">
        <v>284</v>
      </c>
      <c r="E107" s="206" t="s">
        <v>284</v>
      </c>
      <c r="F107" s="206" t="s">
        <v>284</v>
      </c>
      <c r="G107" s="206" t="s">
        <v>284</v>
      </c>
      <c r="H107" s="52">
        <v>38</v>
      </c>
      <c r="I107" s="52">
        <v>49</v>
      </c>
      <c r="J107" s="206" t="s">
        <v>284</v>
      </c>
      <c r="K107" s="52">
        <v>1</v>
      </c>
      <c r="L107" s="206" t="s">
        <v>284</v>
      </c>
      <c r="M107" s="52">
        <v>573</v>
      </c>
    </row>
    <row r="108" spans="2:13">
      <c r="B108" s="8" t="s">
        <v>170</v>
      </c>
      <c r="C108" s="206" t="s">
        <v>284</v>
      </c>
      <c r="D108" s="206" t="s">
        <v>284</v>
      </c>
      <c r="E108" s="206" t="s">
        <v>284</v>
      </c>
      <c r="F108" s="206" t="s">
        <v>284</v>
      </c>
      <c r="G108" s="206" t="s">
        <v>284</v>
      </c>
      <c r="H108" s="52">
        <v>26</v>
      </c>
      <c r="I108" s="52">
        <v>38</v>
      </c>
      <c r="J108" s="206" t="s">
        <v>284</v>
      </c>
      <c r="K108" s="52">
        <v>5</v>
      </c>
      <c r="L108" s="206">
        <v>1</v>
      </c>
      <c r="M108" s="52">
        <v>691</v>
      </c>
    </row>
    <row r="109" spans="2:13">
      <c r="B109" s="8">
        <v>1994</v>
      </c>
      <c r="C109" s="206" t="s">
        <v>284</v>
      </c>
      <c r="D109" s="206" t="s">
        <v>284</v>
      </c>
      <c r="E109" s="206" t="s">
        <v>284</v>
      </c>
      <c r="F109" s="206" t="s">
        <v>284</v>
      </c>
      <c r="G109" s="206" t="s">
        <v>284</v>
      </c>
      <c r="H109" s="52">
        <v>33</v>
      </c>
      <c r="I109" s="52">
        <v>44</v>
      </c>
      <c r="J109" s="206" t="s">
        <v>284</v>
      </c>
      <c r="K109" s="52">
        <v>1</v>
      </c>
      <c r="L109" s="206" t="s">
        <v>284</v>
      </c>
      <c r="M109" s="52">
        <v>757</v>
      </c>
    </row>
    <row r="110" spans="2:13" s="14" customFormat="1">
      <c r="B110" s="8">
        <v>1995</v>
      </c>
      <c r="C110" s="206" t="s">
        <v>284</v>
      </c>
      <c r="D110" s="206" t="s">
        <v>284</v>
      </c>
      <c r="E110" s="206" t="s">
        <v>284</v>
      </c>
      <c r="F110" s="206" t="s">
        <v>284</v>
      </c>
      <c r="G110" s="206" t="s">
        <v>284</v>
      </c>
      <c r="H110" s="52">
        <v>31</v>
      </c>
      <c r="I110" s="52">
        <v>43</v>
      </c>
      <c r="J110" s="206" t="s">
        <v>284</v>
      </c>
      <c r="K110" s="52">
        <v>2</v>
      </c>
      <c r="L110" s="206">
        <v>1</v>
      </c>
      <c r="M110" s="52">
        <v>795</v>
      </c>
    </row>
    <row r="111" spans="2:13">
      <c r="B111" s="8">
        <v>1996</v>
      </c>
      <c r="C111" s="206" t="s">
        <v>284</v>
      </c>
      <c r="D111" s="206" t="s">
        <v>284</v>
      </c>
      <c r="E111" s="206" t="s">
        <v>284</v>
      </c>
      <c r="F111" s="206" t="s">
        <v>284</v>
      </c>
      <c r="G111" s="206" t="s">
        <v>284</v>
      </c>
      <c r="H111" s="52">
        <v>26</v>
      </c>
      <c r="I111" s="52">
        <v>29</v>
      </c>
      <c r="J111" s="206" t="s">
        <v>284</v>
      </c>
      <c r="K111" s="52">
        <v>2</v>
      </c>
      <c r="L111" s="206" t="s">
        <v>284</v>
      </c>
      <c r="M111" s="52">
        <v>510</v>
      </c>
    </row>
    <row r="112" spans="2:13">
      <c r="B112" s="8">
        <v>1997</v>
      </c>
      <c r="C112" s="206" t="s">
        <v>284</v>
      </c>
      <c r="D112" s="206" t="s">
        <v>284</v>
      </c>
      <c r="E112" s="206" t="s">
        <v>284</v>
      </c>
      <c r="F112" s="206" t="s">
        <v>284</v>
      </c>
      <c r="G112" s="206" t="s">
        <v>284</v>
      </c>
      <c r="H112" s="52">
        <v>22</v>
      </c>
      <c r="I112" s="52">
        <v>33</v>
      </c>
      <c r="J112" s="206" t="s">
        <v>284</v>
      </c>
      <c r="K112" s="206" t="s">
        <v>284</v>
      </c>
      <c r="L112" s="206">
        <v>1</v>
      </c>
      <c r="M112" s="52">
        <v>317</v>
      </c>
    </row>
    <row r="113" spans="2:13">
      <c r="B113" s="8">
        <v>1998</v>
      </c>
      <c r="C113" s="206" t="s">
        <v>284</v>
      </c>
      <c r="D113" s="206" t="s">
        <v>284</v>
      </c>
      <c r="E113" s="206" t="s">
        <v>284</v>
      </c>
      <c r="F113" s="206" t="s">
        <v>284</v>
      </c>
      <c r="G113" s="206" t="s">
        <v>284</v>
      </c>
      <c r="H113" s="52">
        <v>24</v>
      </c>
      <c r="I113" s="52">
        <v>33</v>
      </c>
      <c r="J113" s="206" t="s">
        <v>284</v>
      </c>
      <c r="K113" s="52">
        <v>1</v>
      </c>
      <c r="L113" s="206" t="s">
        <v>284</v>
      </c>
      <c r="M113" s="52">
        <v>270</v>
      </c>
    </row>
    <row r="114" spans="2:13">
      <c r="B114" s="8">
        <v>1999</v>
      </c>
      <c r="C114" s="206" t="s">
        <v>284</v>
      </c>
      <c r="D114" s="206" t="s">
        <v>284</v>
      </c>
      <c r="E114" s="206" t="s">
        <v>284</v>
      </c>
      <c r="F114" s="206" t="s">
        <v>284</v>
      </c>
      <c r="G114" s="206" t="s">
        <v>284</v>
      </c>
      <c r="H114" s="52">
        <v>21</v>
      </c>
      <c r="I114" s="52">
        <v>24</v>
      </c>
      <c r="J114" s="206">
        <v>2</v>
      </c>
      <c r="K114" s="206" t="s">
        <v>284</v>
      </c>
      <c r="L114" s="206" t="s">
        <v>284</v>
      </c>
      <c r="M114" s="52">
        <v>237</v>
      </c>
    </row>
    <row r="115" spans="2:13">
      <c r="B115" s="8"/>
      <c r="C115" s="206"/>
      <c r="D115" s="206"/>
      <c r="E115" s="206"/>
      <c r="F115" s="206"/>
      <c r="G115" s="206"/>
      <c r="H115" s="52"/>
      <c r="I115" s="52"/>
      <c r="J115" s="206"/>
      <c r="K115" s="52"/>
      <c r="L115" s="206"/>
      <c r="M115" s="52"/>
    </row>
    <row r="116" spans="2:13">
      <c r="B116" s="8">
        <v>2000</v>
      </c>
      <c r="C116" s="206" t="s">
        <v>284</v>
      </c>
      <c r="D116" s="206" t="s">
        <v>284</v>
      </c>
      <c r="E116" s="206" t="s">
        <v>284</v>
      </c>
      <c r="F116" s="206" t="s">
        <v>284</v>
      </c>
      <c r="G116" s="206" t="s">
        <v>284</v>
      </c>
      <c r="H116" s="52">
        <v>21</v>
      </c>
      <c r="I116" s="52">
        <v>27</v>
      </c>
      <c r="J116" s="206" t="s">
        <v>284</v>
      </c>
      <c r="K116" s="52">
        <v>2</v>
      </c>
      <c r="L116" s="206" t="s">
        <v>284</v>
      </c>
      <c r="M116" s="52">
        <v>246</v>
      </c>
    </row>
    <row r="117" spans="2:13">
      <c r="B117" s="8">
        <v>2001</v>
      </c>
      <c r="C117" s="206" t="s">
        <v>284</v>
      </c>
      <c r="D117" s="206" t="s">
        <v>284</v>
      </c>
      <c r="E117" s="206" t="s">
        <v>284</v>
      </c>
      <c r="F117" s="206" t="s">
        <v>284</v>
      </c>
      <c r="G117" s="206" t="s">
        <v>284</v>
      </c>
      <c r="H117" s="52">
        <v>27</v>
      </c>
      <c r="I117" s="66">
        <v>31</v>
      </c>
      <c r="J117" s="206" t="s">
        <v>284</v>
      </c>
      <c r="K117" s="206" t="s">
        <v>284</v>
      </c>
      <c r="L117" s="206" t="s">
        <v>284</v>
      </c>
      <c r="M117" s="66">
        <v>253</v>
      </c>
    </row>
    <row r="118" spans="2:13">
      <c r="B118" s="8">
        <v>2002</v>
      </c>
      <c r="C118" s="206" t="s">
        <v>284</v>
      </c>
      <c r="D118" s="206" t="s">
        <v>284</v>
      </c>
      <c r="E118" s="206" t="s">
        <v>284</v>
      </c>
      <c r="F118" s="206">
        <v>1</v>
      </c>
      <c r="G118" s="206" t="s">
        <v>284</v>
      </c>
      <c r="H118" s="52">
        <v>14</v>
      </c>
      <c r="I118" s="66">
        <v>17</v>
      </c>
      <c r="J118" s="206" t="s">
        <v>284</v>
      </c>
      <c r="K118" s="66">
        <v>1</v>
      </c>
      <c r="L118" s="206" t="s">
        <v>284</v>
      </c>
      <c r="M118" s="66">
        <v>237</v>
      </c>
    </row>
    <row r="119" spans="2:13">
      <c r="B119" s="8">
        <v>2003</v>
      </c>
      <c r="C119" s="206" t="s">
        <v>284</v>
      </c>
      <c r="D119" s="206" t="s">
        <v>284</v>
      </c>
      <c r="E119" s="206" t="s">
        <v>284</v>
      </c>
      <c r="F119" s="206" t="s">
        <v>284</v>
      </c>
      <c r="G119" s="206" t="s">
        <v>284</v>
      </c>
      <c r="H119" s="66">
        <v>16</v>
      </c>
      <c r="I119" s="66">
        <v>20</v>
      </c>
      <c r="J119" s="206" t="s">
        <v>284</v>
      </c>
      <c r="K119" s="206" t="s">
        <v>284</v>
      </c>
      <c r="L119" s="206" t="s">
        <v>284</v>
      </c>
      <c r="M119" s="66">
        <v>237</v>
      </c>
    </row>
    <row r="120" spans="2:13">
      <c r="B120" s="8">
        <v>2004</v>
      </c>
      <c r="C120" s="206" t="s">
        <v>284</v>
      </c>
      <c r="D120" s="206" t="s">
        <v>284</v>
      </c>
      <c r="E120" s="206" t="s">
        <v>284</v>
      </c>
      <c r="F120" s="206" t="s">
        <v>284</v>
      </c>
      <c r="G120" s="206" t="s">
        <v>284</v>
      </c>
      <c r="H120" s="66">
        <v>19</v>
      </c>
      <c r="I120" s="66">
        <v>21</v>
      </c>
      <c r="J120" s="206" t="s">
        <v>284</v>
      </c>
      <c r="K120" s="206" t="s">
        <v>284</v>
      </c>
      <c r="L120" s="206" t="s">
        <v>284</v>
      </c>
      <c r="M120" s="66">
        <v>215</v>
      </c>
    </row>
    <row r="121" spans="2:13">
      <c r="B121" s="8">
        <v>2005</v>
      </c>
      <c r="C121" s="206" t="s">
        <v>284</v>
      </c>
      <c r="D121" s="206">
        <v>2</v>
      </c>
      <c r="E121" s="206" t="s">
        <v>284</v>
      </c>
      <c r="F121" s="206" t="s">
        <v>284</v>
      </c>
      <c r="G121" s="206" t="s">
        <v>284</v>
      </c>
      <c r="H121" s="66">
        <v>13</v>
      </c>
      <c r="I121" s="66">
        <v>19</v>
      </c>
      <c r="J121" s="206" t="s">
        <v>284</v>
      </c>
      <c r="K121" s="206">
        <v>1</v>
      </c>
      <c r="L121" s="206" t="s">
        <v>284</v>
      </c>
      <c r="M121" s="66">
        <v>224</v>
      </c>
    </row>
    <row r="122" spans="2:13">
      <c r="B122" s="8">
        <v>2006</v>
      </c>
      <c r="C122" s="206" t="s">
        <v>284</v>
      </c>
      <c r="D122" s="206">
        <v>7</v>
      </c>
      <c r="E122" s="206" t="s">
        <v>284</v>
      </c>
      <c r="F122" s="206">
        <v>2</v>
      </c>
      <c r="G122" s="206" t="s">
        <v>284</v>
      </c>
      <c r="H122" s="66">
        <v>8</v>
      </c>
      <c r="I122" s="66">
        <v>12</v>
      </c>
      <c r="J122" s="206" t="s">
        <v>284</v>
      </c>
      <c r="K122" s="206" t="s">
        <v>284</v>
      </c>
      <c r="L122" s="206" t="s">
        <v>284</v>
      </c>
      <c r="M122" s="66">
        <v>184</v>
      </c>
    </row>
    <row r="123" spans="2:13">
      <c r="B123" s="8">
        <v>2007</v>
      </c>
      <c r="C123" s="206" t="s">
        <v>284</v>
      </c>
      <c r="D123" s="206" t="s">
        <v>284</v>
      </c>
      <c r="E123" s="206" t="s">
        <v>284</v>
      </c>
      <c r="F123" s="206" t="s">
        <v>284</v>
      </c>
      <c r="G123" s="206" t="s">
        <v>284</v>
      </c>
      <c r="H123" s="66">
        <v>8</v>
      </c>
      <c r="I123" s="66">
        <v>14</v>
      </c>
      <c r="J123" s="206" t="s">
        <v>284</v>
      </c>
      <c r="K123" s="206">
        <v>3</v>
      </c>
      <c r="L123" s="206" t="s">
        <v>284</v>
      </c>
      <c r="M123" s="66">
        <v>186</v>
      </c>
    </row>
    <row r="124" spans="2:13">
      <c r="B124" s="8">
        <v>2008</v>
      </c>
      <c r="C124" s="206" t="s">
        <v>284</v>
      </c>
      <c r="D124" s="206" t="s">
        <v>284</v>
      </c>
      <c r="E124" s="206" t="s">
        <v>284</v>
      </c>
      <c r="F124" s="206" t="s">
        <v>284</v>
      </c>
      <c r="G124" s="206" t="s">
        <v>284</v>
      </c>
      <c r="H124" s="66">
        <v>6</v>
      </c>
      <c r="I124" s="66">
        <v>10</v>
      </c>
      <c r="J124" s="206" t="s">
        <v>284</v>
      </c>
      <c r="K124" s="206">
        <v>1</v>
      </c>
      <c r="L124" s="206" t="s">
        <v>284</v>
      </c>
      <c r="M124" s="66">
        <v>192</v>
      </c>
    </row>
    <row r="125" spans="2:13">
      <c r="B125" s="8">
        <v>2009</v>
      </c>
      <c r="C125" s="206" t="s">
        <v>284</v>
      </c>
      <c r="D125" s="206">
        <v>1</v>
      </c>
      <c r="E125" s="206" t="s">
        <v>284</v>
      </c>
      <c r="F125" s="206" t="s">
        <v>284</v>
      </c>
      <c r="G125" s="206" t="s">
        <v>284</v>
      </c>
      <c r="H125" s="66">
        <v>7</v>
      </c>
      <c r="I125" s="66">
        <v>12</v>
      </c>
      <c r="J125" s="206" t="s">
        <v>284</v>
      </c>
      <c r="K125" s="206" t="s">
        <v>284</v>
      </c>
      <c r="L125" s="206">
        <v>1</v>
      </c>
      <c r="M125" s="66">
        <v>139</v>
      </c>
    </row>
    <row r="126" spans="2:13">
      <c r="B126" s="8"/>
      <c r="C126" s="206"/>
      <c r="D126" s="206"/>
      <c r="E126" s="206"/>
      <c r="F126" s="206"/>
      <c r="G126" s="206"/>
      <c r="H126" s="66"/>
      <c r="I126" s="66"/>
      <c r="J126" s="206"/>
      <c r="K126" s="206"/>
      <c r="L126" s="206"/>
      <c r="M126" s="66"/>
    </row>
    <row r="127" spans="2:13">
      <c r="B127" s="8">
        <v>2010</v>
      </c>
      <c r="C127" s="206" t="s">
        <v>284</v>
      </c>
      <c r="D127" s="206" t="s">
        <v>284</v>
      </c>
      <c r="E127" s="206" t="s">
        <v>284</v>
      </c>
      <c r="F127" s="206" t="s">
        <v>284</v>
      </c>
      <c r="G127" s="206" t="s">
        <v>284</v>
      </c>
      <c r="H127" s="66">
        <v>17</v>
      </c>
      <c r="I127" s="66">
        <v>18</v>
      </c>
      <c r="J127" s="206" t="s">
        <v>284</v>
      </c>
      <c r="K127" s="206" t="s">
        <v>284</v>
      </c>
      <c r="L127" s="206" t="s">
        <v>284</v>
      </c>
      <c r="M127" s="66">
        <v>151</v>
      </c>
    </row>
    <row r="128" spans="2:13">
      <c r="B128" s="8">
        <v>2011</v>
      </c>
      <c r="C128" s="206" t="s">
        <v>284</v>
      </c>
      <c r="D128" s="206" t="s">
        <v>284</v>
      </c>
      <c r="E128" s="206" t="s">
        <v>284</v>
      </c>
      <c r="F128" s="206" t="s">
        <v>284</v>
      </c>
      <c r="G128" s="206" t="s">
        <v>284</v>
      </c>
      <c r="H128" s="66">
        <v>5</v>
      </c>
      <c r="I128" s="66">
        <v>9</v>
      </c>
      <c r="J128" s="206" t="s">
        <v>284</v>
      </c>
      <c r="K128" s="206" t="s">
        <v>284</v>
      </c>
      <c r="L128" s="206" t="s">
        <v>284</v>
      </c>
      <c r="M128" s="66">
        <v>120</v>
      </c>
    </row>
    <row r="129" spans="2:13">
      <c r="B129" s="8">
        <v>2012</v>
      </c>
      <c r="C129" s="206" t="s">
        <v>284</v>
      </c>
      <c r="D129" s="206" t="s">
        <v>284</v>
      </c>
      <c r="E129" s="206" t="s">
        <v>284</v>
      </c>
      <c r="F129" s="206">
        <v>1</v>
      </c>
      <c r="G129" s="206" t="s">
        <v>284</v>
      </c>
      <c r="H129" s="66">
        <v>8</v>
      </c>
      <c r="I129" s="66">
        <v>15</v>
      </c>
      <c r="J129" s="206" t="s">
        <v>284</v>
      </c>
      <c r="K129" s="206">
        <v>3</v>
      </c>
      <c r="L129" s="206" t="s">
        <v>284</v>
      </c>
      <c r="M129" s="66">
        <v>139</v>
      </c>
    </row>
    <row r="130" spans="2:13">
      <c r="B130" s="8">
        <v>2013</v>
      </c>
      <c r="C130" s="206" t="s">
        <v>284</v>
      </c>
      <c r="D130" s="206" t="s">
        <v>284</v>
      </c>
      <c r="E130" s="206" t="s">
        <v>284</v>
      </c>
      <c r="F130" s="206" t="s">
        <v>284</v>
      </c>
      <c r="G130" s="206" t="s">
        <v>284</v>
      </c>
      <c r="H130" s="66">
        <v>7</v>
      </c>
      <c r="I130" s="66">
        <v>10</v>
      </c>
      <c r="J130" s="206" t="s">
        <v>284</v>
      </c>
      <c r="K130" s="206">
        <v>3</v>
      </c>
      <c r="L130" s="206" t="s">
        <v>284</v>
      </c>
      <c r="M130" s="66">
        <v>125</v>
      </c>
    </row>
    <row r="131" spans="2:13">
      <c r="B131" s="6"/>
      <c r="C131" s="209"/>
      <c r="D131" s="209"/>
      <c r="E131" s="209"/>
      <c r="F131" s="210"/>
      <c r="G131" s="210"/>
      <c r="H131" s="210"/>
      <c r="I131" s="210"/>
      <c r="J131" s="209"/>
      <c r="K131" s="210"/>
      <c r="L131" s="210"/>
      <c r="M131" s="210"/>
    </row>
    <row r="132" spans="2:13">
      <c r="B132" s="16"/>
      <c r="C132" s="71"/>
      <c r="D132" s="71"/>
      <c r="E132" s="71"/>
      <c r="F132" s="72"/>
      <c r="G132" s="72"/>
      <c r="H132" s="72"/>
      <c r="I132" s="72"/>
      <c r="J132" s="71"/>
      <c r="K132" s="72"/>
      <c r="L132" s="72"/>
      <c r="M132" s="72"/>
    </row>
    <row r="133" spans="2:13" ht="63.75" customHeight="1">
      <c r="B133" s="293" t="s">
        <v>311</v>
      </c>
      <c r="C133" s="280"/>
      <c r="D133" s="280"/>
      <c r="E133" s="280"/>
      <c r="F133" s="280"/>
      <c r="G133" s="280"/>
      <c r="H133" s="280"/>
      <c r="I133" s="280"/>
      <c r="J133" s="280"/>
      <c r="K133" s="280"/>
      <c r="L133" s="280"/>
      <c r="M133" s="280"/>
    </row>
    <row r="134" spans="2:13" ht="17.25" customHeight="1">
      <c r="B134" s="273" t="s">
        <v>584</v>
      </c>
      <c r="C134" s="270"/>
      <c r="D134" s="270"/>
      <c r="E134" s="270"/>
      <c r="F134" s="270"/>
      <c r="G134" s="270"/>
      <c r="H134" s="270"/>
      <c r="I134" s="270"/>
      <c r="J134" s="270"/>
      <c r="K134" s="270"/>
      <c r="L134" s="270"/>
      <c r="M134" s="270"/>
    </row>
  </sheetData>
  <mergeCells count="1">
    <mergeCell ref="B133:M133"/>
  </mergeCells>
  <phoneticPr fontId="0" type="noConversion"/>
  <printOptions horizontalCentered="1"/>
  <pageMargins left="0.25" right="0" top="0.25" bottom="0.25" header="0" footer="0"/>
  <pageSetup scale="80"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4"/>
  <sheetViews>
    <sheetView workbookViewId="0"/>
  </sheetViews>
  <sheetFormatPr defaultRowHeight="15"/>
  <cols>
    <col min="1" max="1" width="2.83203125" style="2" customWidth="1"/>
    <col min="2" max="2" width="9" style="2" customWidth="1"/>
    <col min="3" max="3" width="13.6640625" style="2" bestFit="1" customWidth="1"/>
    <col min="4" max="4" width="12.1640625" style="2" bestFit="1" customWidth="1"/>
    <col min="5" max="5" width="10.6640625" style="2" customWidth="1"/>
    <col min="6" max="6" width="13.83203125" style="2" customWidth="1"/>
    <col min="7" max="7" width="11.33203125" style="2" bestFit="1" customWidth="1"/>
    <col min="8" max="8" width="15.33203125" style="2" customWidth="1"/>
    <col min="9" max="9" width="16.5" style="2" customWidth="1"/>
    <col min="10" max="10" width="7.5" style="2" bestFit="1" customWidth="1"/>
    <col min="11" max="11" width="10.5" style="2" bestFit="1" customWidth="1"/>
    <col min="12" max="12" width="14" style="2" bestFit="1" customWidth="1"/>
    <col min="13" max="13" width="13.6640625" style="2" customWidth="1"/>
    <col min="14" max="16384" width="9.33203125" style="2"/>
  </cols>
  <sheetData>
    <row r="2" spans="2:13">
      <c r="B2" s="3" t="s">
        <v>287</v>
      </c>
      <c r="C2" s="4"/>
      <c r="D2" s="4"/>
      <c r="E2" s="4"/>
      <c r="F2" s="4"/>
      <c r="G2" s="4"/>
      <c r="H2" s="4"/>
      <c r="I2" s="4"/>
      <c r="J2" s="4"/>
      <c r="K2" s="4"/>
      <c r="L2" s="4"/>
      <c r="M2" s="4"/>
    </row>
    <row r="3" spans="2:13" ht="15.75">
      <c r="B3" s="5" t="s">
        <v>562</v>
      </c>
      <c r="C3" s="4"/>
      <c r="D3" s="4"/>
      <c r="E3" s="4"/>
      <c r="F3" s="4"/>
      <c r="G3" s="4"/>
      <c r="H3" s="4"/>
      <c r="I3" s="4"/>
      <c r="J3" s="4"/>
      <c r="K3" s="4"/>
      <c r="L3" s="4"/>
      <c r="M3" s="4"/>
    </row>
    <row r="4" spans="2:13">
      <c r="B4" s="3" t="s">
        <v>565</v>
      </c>
      <c r="C4" s="4"/>
      <c r="D4" s="4"/>
      <c r="E4" s="4"/>
      <c r="F4" s="4"/>
      <c r="G4" s="4"/>
      <c r="H4" s="4"/>
      <c r="I4" s="4"/>
      <c r="J4" s="4"/>
      <c r="K4" s="4"/>
      <c r="L4" s="4"/>
      <c r="M4" s="4"/>
    </row>
    <row r="5" spans="2:13" ht="90">
      <c r="B5" s="31" t="s">
        <v>157</v>
      </c>
      <c r="C5" s="32" t="s">
        <v>279</v>
      </c>
      <c r="D5" s="75" t="s">
        <v>561</v>
      </c>
      <c r="E5" s="33" t="s">
        <v>301</v>
      </c>
      <c r="F5" s="33" t="s">
        <v>286</v>
      </c>
      <c r="G5" s="31" t="s">
        <v>280</v>
      </c>
      <c r="H5" s="33" t="s">
        <v>302</v>
      </c>
      <c r="I5" s="33" t="s">
        <v>300</v>
      </c>
      <c r="J5" s="34" t="s">
        <v>281</v>
      </c>
      <c r="K5" s="34" t="s">
        <v>282</v>
      </c>
      <c r="L5" s="34" t="s">
        <v>283</v>
      </c>
      <c r="M5" s="35" t="s">
        <v>299</v>
      </c>
    </row>
    <row r="6" spans="2:13">
      <c r="B6" s="8" t="s">
        <v>158</v>
      </c>
      <c r="C6" s="184">
        <v>21.9</v>
      </c>
      <c r="D6" s="184">
        <v>11.2</v>
      </c>
      <c r="E6" s="184">
        <v>35.9</v>
      </c>
      <c r="F6" s="184">
        <v>8.6</v>
      </c>
      <c r="G6" s="184">
        <v>14.1</v>
      </c>
      <c r="H6" s="184">
        <v>83.4</v>
      </c>
      <c r="I6" s="184">
        <v>103.3</v>
      </c>
      <c r="J6" s="185" t="s">
        <v>284</v>
      </c>
      <c r="K6" s="185" t="s">
        <v>284</v>
      </c>
      <c r="L6" s="185" t="s">
        <v>284</v>
      </c>
      <c r="M6" s="185" t="s">
        <v>284</v>
      </c>
    </row>
    <row r="7" spans="2:13">
      <c r="B7" s="8" t="s">
        <v>180</v>
      </c>
      <c r="C7" s="184">
        <v>20.399999999999999</v>
      </c>
      <c r="D7" s="184">
        <v>12.7</v>
      </c>
      <c r="E7" s="184">
        <v>26.2</v>
      </c>
      <c r="F7" s="184">
        <v>6.6</v>
      </c>
      <c r="G7" s="184">
        <v>3.2</v>
      </c>
      <c r="H7" s="184">
        <v>87.5</v>
      </c>
      <c r="I7" s="184">
        <v>103.6</v>
      </c>
      <c r="J7" s="185" t="s">
        <v>284</v>
      </c>
      <c r="K7" s="184">
        <v>3.6</v>
      </c>
      <c r="L7" s="185" t="s">
        <v>284</v>
      </c>
      <c r="M7" s="185" t="s">
        <v>284</v>
      </c>
    </row>
    <row r="8" spans="2:13">
      <c r="B8" s="8" t="s">
        <v>181</v>
      </c>
      <c r="C8" s="184">
        <v>20.2</v>
      </c>
      <c r="D8" s="184">
        <v>11.1</v>
      </c>
      <c r="E8" s="184">
        <v>24.3</v>
      </c>
      <c r="F8" s="184">
        <v>11.6</v>
      </c>
      <c r="G8" s="184">
        <v>9.5</v>
      </c>
      <c r="H8" s="184">
        <v>83.6</v>
      </c>
      <c r="I8" s="184">
        <v>98.5</v>
      </c>
      <c r="J8" s="185" t="s">
        <v>284</v>
      </c>
      <c r="K8" s="184">
        <v>4.5999999999999996</v>
      </c>
      <c r="L8" s="185" t="s">
        <v>284</v>
      </c>
      <c r="M8" s="185" t="s">
        <v>284</v>
      </c>
    </row>
    <row r="9" spans="2:13">
      <c r="B9" s="8" t="s">
        <v>182</v>
      </c>
      <c r="C9" s="184">
        <v>27</v>
      </c>
      <c r="D9" s="184">
        <v>7.9</v>
      </c>
      <c r="E9" s="184">
        <v>23.9</v>
      </c>
      <c r="F9" s="184">
        <v>15.1</v>
      </c>
      <c r="G9" s="184">
        <v>6.9</v>
      </c>
      <c r="H9" s="184">
        <v>84.9</v>
      </c>
      <c r="I9" s="184">
        <v>101</v>
      </c>
      <c r="J9" s="185" t="s">
        <v>284</v>
      </c>
      <c r="K9" s="184">
        <v>5.2</v>
      </c>
      <c r="L9" s="185" t="s">
        <v>284</v>
      </c>
      <c r="M9" s="185" t="s">
        <v>284</v>
      </c>
    </row>
    <row r="10" spans="2:13">
      <c r="B10" s="8" t="s">
        <v>183</v>
      </c>
      <c r="C10" s="184">
        <v>20</v>
      </c>
      <c r="D10" s="184">
        <v>8.1</v>
      </c>
      <c r="E10" s="184">
        <v>24.9</v>
      </c>
      <c r="F10" s="184">
        <v>5.7</v>
      </c>
      <c r="G10" s="184">
        <v>7.5</v>
      </c>
      <c r="H10" s="184">
        <v>89.5</v>
      </c>
      <c r="I10" s="184">
        <v>107.2</v>
      </c>
      <c r="J10" s="185" t="s">
        <v>284</v>
      </c>
      <c r="K10" s="184">
        <v>4</v>
      </c>
      <c r="L10" s="185" t="s">
        <v>284</v>
      </c>
      <c r="M10" s="185" t="s">
        <v>284</v>
      </c>
    </row>
    <row r="11" spans="2:13">
      <c r="B11" s="8" t="s">
        <v>184</v>
      </c>
      <c r="C11" s="184">
        <v>18.3</v>
      </c>
      <c r="D11" s="184">
        <v>4.7</v>
      </c>
      <c r="E11" s="184">
        <v>24.3</v>
      </c>
      <c r="F11" s="184">
        <v>5</v>
      </c>
      <c r="G11" s="184">
        <v>4.7</v>
      </c>
      <c r="H11" s="184">
        <v>87.5</v>
      </c>
      <c r="I11" s="184">
        <v>104.5</v>
      </c>
      <c r="J11" s="185" t="s">
        <v>284</v>
      </c>
      <c r="K11" s="184">
        <v>3.5</v>
      </c>
      <c r="L11" s="185" t="s">
        <v>284</v>
      </c>
      <c r="M11" s="185" t="s">
        <v>284</v>
      </c>
    </row>
    <row r="12" spans="2:13">
      <c r="B12" s="8" t="s">
        <v>185</v>
      </c>
      <c r="C12" s="184">
        <v>17.8</v>
      </c>
      <c r="D12" s="184">
        <v>8.6</v>
      </c>
      <c r="E12" s="184">
        <v>27.2</v>
      </c>
      <c r="F12" s="184">
        <v>17.7</v>
      </c>
      <c r="G12" s="184">
        <v>9.5</v>
      </c>
      <c r="H12" s="184">
        <v>86.8</v>
      </c>
      <c r="I12" s="184">
        <v>103.1</v>
      </c>
      <c r="J12" s="185" t="s">
        <v>284</v>
      </c>
      <c r="K12" s="184">
        <v>3.4</v>
      </c>
      <c r="L12" s="185" t="s">
        <v>284</v>
      </c>
      <c r="M12" s="185" t="s">
        <v>284</v>
      </c>
    </row>
    <row r="13" spans="2:13">
      <c r="B13" s="8" t="s">
        <v>186</v>
      </c>
      <c r="C13" s="184">
        <v>15.6</v>
      </c>
      <c r="D13" s="184">
        <v>5.9</v>
      </c>
      <c r="E13" s="184">
        <v>22.1</v>
      </c>
      <c r="F13" s="184">
        <v>8.3000000000000007</v>
      </c>
      <c r="G13" s="184">
        <v>9.5</v>
      </c>
      <c r="H13" s="184">
        <v>86.8</v>
      </c>
      <c r="I13" s="184">
        <v>101.3</v>
      </c>
      <c r="J13" s="185" t="s">
        <v>284</v>
      </c>
      <c r="K13" s="184">
        <v>3.6</v>
      </c>
      <c r="L13" s="185" t="s">
        <v>284</v>
      </c>
      <c r="M13" s="185" t="s">
        <v>284</v>
      </c>
    </row>
    <row r="14" spans="2:13">
      <c r="B14" s="8" t="s">
        <v>187</v>
      </c>
      <c r="C14" s="184">
        <v>12.6</v>
      </c>
      <c r="D14" s="184">
        <v>7.1</v>
      </c>
      <c r="E14" s="184">
        <v>25.1</v>
      </c>
      <c r="F14" s="184">
        <v>11.2</v>
      </c>
      <c r="G14" s="184">
        <v>4.4000000000000004</v>
      </c>
      <c r="H14" s="184">
        <v>82.3</v>
      </c>
      <c r="I14" s="184">
        <v>99</v>
      </c>
      <c r="J14" s="185" t="s">
        <v>284</v>
      </c>
      <c r="K14" s="184">
        <v>4.5</v>
      </c>
      <c r="L14" s="185" t="s">
        <v>284</v>
      </c>
      <c r="M14" s="185" t="s">
        <v>284</v>
      </c>
    </row>
    <row r="15" spans="2:13">
      <c r="B15" s="8" t="s">
        <v>188</v>
      </c>
      <c r="C15" s="184">
        <v>14.3</v>
      </c>
      <c r="D15" s="184">
        <v>9.9</v>
      </c>
      <c r="E15" s="184">
        <v>23.6</v>
      </c>
      <c r="F15" s="184">
        <v>7.8</v>
      </c>
      <c r="G15" s="184">
        <v>9.6999999999999993</v>
      </c>
      <c r="H15" s="184">
        <v>80.7</v>
      </c>
      <c r="I15" s="184">
        <v>94.9</v>
      </c>
      <c r="J15" s="185" t="s">
        <v>284</v>
      </c>
      <c r="K15" s="184">
        <v>4.8</v>
      </c>
      <c r="L15" s="185" t="s">
        <v>284</v>
      </c>
      <c r="M15" s="185" t="s">
        <v>284</v>
      </c>
    </row>
    <row r="16" spans="2:13">
      <c r="B16" s="11"/>
      <c r="C16" s="184"/>
      <c r="D16" s="184"/>
      <c r="E16" s="184"/>
      <c r="F16" s="187"/>
      <c r="G16" s="184"/>
      <c r="H16" s="23"/>
      <c r="I16" s="23"/>
      <c r="J16" s="23"/>
      <c r="K16" s="23"/>
      <c r="L16" s="185"/>
      <c r="M16" s="185"/>
    </row>
    <row r="17" spans="2:13">
      <c r="B17" s="8" t="s">
        <v>159</v>
      </c>
      <c r="C17" s="184">
        <v>17.600000000000001</v>
      </c>
      <c r="D17" s="184">
        <v>10.6</v>
      </c>
      <c r="E17" s="184">
        <v>23.3</v>
      </c>
      <c r="F17" s="184">
        <v>11.3</v>
      </c>
      <c r="G17" s="184">
        <v>8.9</v>
      </c>
      <c r="H17" s="184">
        <v>80.900000000000006</v>
      </c>
      <c r="I17" s="184">
        <v>98.1</v>
      </c>
      <c r="J17" s="184">
        <v>1.9</v>
      </c>
      <c r="K17" s="184">
        <v>2.2999999999999998</v>
      </c>
      <c r="L17" s="185" t="s">
        <v>284</v>
      </c>
      <c r="M17" s="185" t="s">
        <v>284</v>
      </c>
    </row>
    <row r="18" spans="2:13">
      <c r="B18" s="8" t="s">
        <v>189</v>
      </c>
      <c r="C18" s="184">
        <v>16.3</v>
      </c>
      <c r="D18" s="184">
        <v>7.2</v>
      </c>
      <c r="E18" s="184">
        <v>19</v>
      </c>
      <c r="F18" s="184">
        <v>8.8000000000000007</v>
      </c>
      <c r="G18" s="184">
        <v>6.9</v>
      </c>
      <c r="H18" s="184">
        <v>78.900000000000006</v>
      </c>
      <c r="I18" s="184">
        <v>95.5</v>
      </c>
      <c r="J18" s="184">
        <v>1.9</v>
      </c>
      <c r="K18" s="184">
        <v>3.6</v>
      </c>
      <c r="L18" s="185" t="s">
        <v>284</v>
      </c>
      <c r="M18" s="185" t="s">
        <v>284</v>
      </c>
    </row>
    <row r="19" spans="2:13">
      <c r="B19" s="8" t="s">
        <v>190</v>
      </c>
      <c r="C19" s="184">
        <v>15.6</v>
      </c>
      <c r="D19" s="184">
        <v>6.2</v>
      </c>
      <c r="E19" s="184">
        <v>17.899999999999999</v>
      </c>
      <c r="F19" s="184">
        <v>8.5</v>
      </c>
      <c r="G19" s="184">
        <v>4</v>
      </c>
      <c r="H19" s="184">
        <v>76.8</v>
      </c>
      <c r="I19" s="184">
        <v>92</v>
      </c>
      <c r="J19" s="184">
        <v>1.7</v>
      </c>
      <c r="K19" s="184">
        <v>3.1</v>
      </c>
      <c r="L19" s="185" t="s">
        <v>284</v>
      </c>
      <c r="M19" s="185" t="s">
        <v>284</v>
      </c>
    </row>
    <row r="20" spans="2:13">
      <c r="B20" s="8" t="s">
        <v>191</v>
      </c>
      <c r="C20" s="184">
        <v>22</v>
      </c>
      <c r="D20" s="184">
        <v>9.1999999999999993</v>
      </c>
      <c r="E20" s="184">
        <v>17.5</v>
      </c>
      <c r="F20" s="184">
        <v>9.5</v>
      </c>
      <c r="G20" s="184">
        <v>8.4</v>
      </c>
      <c r="H20" s="184">
        <v>73.099999999999994</v>
      </c>
      <c r="I20" s="184">
        <v>88.1</v>
      </c>
      <c r="J20" s="184">
        <v>1.5</v>
      </c>
      <c r="K20" s="184">
        <v>4.5999999999999996</v>
      </c>
      <c r="L20" s="185" t="s">
        <v>284</v>
      </c>
      <c r="M20" s="185" t="s">
        <v>284</v>
      </c>
    </row>
    <row r="21" spans="2:13">
      <c r="B21" s="8" t="s">
        <v>192</v>
      </c>
      <c r="C21" s="184">
        <v>16.100000000000001</v>
      </c>
      <c r="D21" s="184">
        <v>5.6</v>
      </c>
      <c r="E21" s="184">
        <v>12.7</v>
      </c>
      <c r="F21" s="184">
        <v>9.6</v>
      </c>
      <c r="G21" s="184">
        <v>5.7</v>
      </c>
      <c r="H21" s="184">
        <v>73.7</v>
      </c>
      <c r="I21" s="184">
        <v>88.8</v>
      </c>
      <c r="J21" s="184">
        <v>1.4</v>
      </c>
      <c r="K21" s="184">
        <v>5.3</v>
      </c>
      <c r="L21" s="185" t="s">
        <v>284</v>
      </c>
      <c r="M21" s="185" t="s">
        <v>284</v>
      </c>
    </row>
    <row r="22" spans="2:13">
      <c r="B22" s="8" t="s">
        <v>193</v>
      </c>
      <c r="C22" s="184">
        <v>10.9</v>
      </c>
      <c r="D22" s="184">
        <v>3.3</v>
      </c>
      <c r="E22" s="184">
        <v>10.9</v>
      </c>
      <c r="F22" s="184">
        <v>7.3</v>
      </c>
      <c r="G22" s="184">
        <v>3.1</v>
      </c>
      <c r="H22" s="184">
        <v>78</v>
      </c>
      <c r="I22" s="184">
        <v>92.2</v>
      </c>
      <c r="J22" s="184">
        <v>1.2</v>
      </c>
      <c r="K22" s="184">
        <v>5.3</v>
      </c>
      <c r="L22" s="185" t="s">
        <v>284</v>
      </c>
      <c r="M22" s="185" t="s">
        <v>284</v>
      </c>
    </row>
    <row r="23" spans="2:13">
      <c r="B23" s="8" t="s">
        <v>194</v>
      </c>
      <c r="C23" s="184">
        <v>15.2</v>
      </c>
      <c r="D23" s="184">
        <v>5.3</v>
      </c>
      <c r="E23" s="184">
        <v>12.8</v>
      </c>
      <c r="F23" s="184">
        <v>6.9</v>
      </c>
      <c r="G23" s="184">
        <v>10.9</v>
      </c>
      <c r="H23" s="184">
        <v>77.400000000000006</v>
      </c>
      <c r="I23" s="184">
        <v>92.3</v>
      </c>
      <c r="J23" s="184">
        <v>4.5999999999999996</v>
      </c>
      <c r="K23" s="184">
        <v>6.7</v>
      </c>
      <c r="L23" s="185" t="s">
        <v>284</v>
      </c>
      <c r="M23" s="185" t="s">
        <v>284</v>
      </c>
    </row>
    <row r="24" spans="2:13">
      <c r="B24" s="8" t="s">
        <v>195</v>
      </c>
      <c r="C24" s="184">
        <v>24.9</v>
      </c>
      <c r="D24" s="184">
        <v>10</v>
      </c>
      <c r="E24" s="184">
        <v>11.3</v>
      </c>
      <c r="F24" s="184">
        <v>10.6</v>
      </c>
      <c r="G24" s="184">
        <v>7.6</v>
      </c>
      <c r="H24" s="184">
        <v>81.5</v>
      </c>
      <c r="I24" s="184">
        <v>97</v>
      </c>
      <c r="J24" s="184">
        <v>1.4</v>
      </c>
      <c r="K24" s="184">
        <v>7.1</v>
      </c>
      <c r="L24" s="185" t="s">
        <v>284</v>
      </c>
      <c r="M24" s="185" t="s">
        <v>284</v>
      </c>
    </row>
    <row r="25" spans="2:13">
      <c r="B25" s="8" t="s">
        <v>196</v>
      </c>
      <c r="C25" s="184">
        <v>19.600000000000001</v>
      </c>
      <c r="D25" s="184">
        <v>5.2</v>
      </c>
      <c r="E25" s="184">
        <v>9.6</v>
      </c>
      <c r="F25" s="184">
        <v>14.2</v>
      </c>
      <c r="G25" s="184">
        <v>7.7</v>
      </c>
      <c r="H25" s="184">
        <v>87.5</v>
      </c>
      <c r="I25" s="184">
        <v>103.3</v>
      </c>
      <c r="J25" s="184">
        <v>1.8</v>
      </c>
      <c r="K25" s="184">
        <v>9.1</v>
      </c>
      <c r="L25" s="185" t="s">
        <v>284</v>
      </c>
      <c r="M25" s="185" t="s">
        <v>284</v>
      </c>
    </row>
    <row r="26" spans="2:13">
      <c r="B26" s="8" t="s">
        <v>197</v>
      </c>
      <c r="C26" s="184">
        <v>21.3</v>
      </c>
      <c r="D26" s="184">
        <v>5</v>
      </c>
      <c r="E26" s="184">
        <v>7.6</v>
      </c>
      <c r="F26" s="184">
        <v>4.8</v>
      </c>
      <c r="G26" s="184">
        <v>5.0999999999999996</v>
      </c>
      <c r="H26" s="184">
        <v>73.099999999999994</v>
      </c>
      <c r="I26" s="184">
        <v>87.3</v>
      </c>
      <c r="J26" s="184">
        <v>2.2000000000000002</v>
      </c>
      <c r="K26" s="184">
        <v>8.1999999999999993</v>
      </c>
      <c r="L26" s="185" t="s">
        <v>284</v>
      </c>
      <c r="M26" s="185" t="s">
        <v>284</v>
      </c>
    </row>
    <row r="27" spans="2:13">
      <c r="B27" s="11"/>
      <c r="C27" s="184"/>
      <c r="D27" s="184"/>
      <c r="E27" s="184"/>
      <c r="F27" s="184"/>
      <c r="G27" s="187"/>
      <c r="H27" s="184"/>
      <c r="I27" s="184"/>
      <c r="J27" s="187"/>
      <c r="K27" s="184"/>
      <c r="L27" s="184"/>
      <c r="M27" s="185"/>
    </row>
    <row r="28" spans="2:13">
      <c r="B28" s="8" t="s">
        <v>160</v>
      </c>
      <c r="C28" s="184">
        <v>24.2</v>
      </c>
      <c r="D28" s="184">
        <v>8.3000000000000007</v>
      </c>
      <c r="E28" s="184">
        <v>8.1</v>
      </c>
      <c r="F28" s="184">
        <v>13.9</v>
      </c>
      <c r="G28" s="184">
        <v>11.9</v>
      </c>
      <c r="H28" s="184">
        <v>72.099999999999994</v>
      </c>
      <c r="I28" s="184">
        <v>85.8</v>
      </c>
      <c r="J28" s="184">
        <v>0.8</v>
      </c>
      <c r="K28" s="184">
        <v>8.4</v>
      </c>
      <c r="L28" s="185" t="s">
        <v>284</v>
      </c>
      <c r="M28" s="185" t="s">
        <v>284</v>
      </c>
    </row>
    <row r="29" spans="2:13">
      <c r="B29" s="8" t="s">
        <v>198</v>
      </c>
      <c r="C29" s="184">
        <v>25.2</v>
      </c>
      <c r="D29" s="184">
        <v>8.8000000000000007</v>
      </c>
      <c r="E29" s="184">
        <v>7.5</v>
      </c>
      <c r="F29" s="184">
        <v>8.3000000000000007</v>
      </c>
      <c r="G29" s="184">
        <v>1.5</v>
      </c>
      <c r="H29" s="184">
        <v>60.4</v>
      </c>
      <c r="I29" s="184">
        <v>72.3</v>
      </c>
      <c r="J29" s="184">
        <v>2.6</v>
      </c>
      <c r="K29" s="184">
        <v>5.9</v>
      </c>
      <c r="L29" s="184">
        <v>0.4</v>
      </c>
      <c r="M29" s="185" t="s">
        <v>284</v>
      </c>
    </row>
    <row r="30" spans="2:13">
      <c r="B30" s="8" t="s">
        <v>199</v>
      </c>
      <c r="C30" s="184">
        <v>15.9</v>
      </c>
      <c r="D30" s="184">
        <v>5.6</v>
      </c>
      <c r="E30" s="184">
        <v>4.9000000000000004</v>
      </c>
      <c r="F30" s="184">
        <v>5.9</v>
      </c>
      <c r="G30" s="184">
        <v>5.9</v>
      </c>
      <c r="H30" s="184">
        <v>57.2</v>
      </c>
      <c r="I30" s="184">
        <v>68</v>
      </c>
      <c r="J30" s="184">
        <v>0.5</v>
      </c>
      <c r="K30" s="184">
        <v>4.7</v>
      </c>
      <c r="L30" s="184">
        <v>0.2</v>
      </c>
      <c r="M30" s="185" t="s">
        <v>284</v>
      </c>
    </row>
    <row r="31" spans="2:13">
      <c r="B31" s="8" t="s">
        <v>200</v>
      </c>
      <c r="C31" s="184">
        <v>16.8</v>
      </c>
      <c r="D31" s="184">
        <v>7.6</v>
      </c>
      <c r="E31" s="184">
        <v>5</v>
      </c>
      <c r="F31" s="184">
        <v>8</v>
      </c>
      <c r="G31" s="184">
        <v>6.4</v>
      </c>
      <c r="H31" s="184">
        <v>59.9</v>
      </c>
      <c r="I31" s="184">
        <v>70.599999999999994</v>
      </c>
      <c r="J31" s="184">
        <v>0.5</v>
      </c>
      <c r="K31" s="184">
        <v>6.8</v>
      </c>
      <c r="L31" s="185" t="s">
        <v>288</v>
      </c>
      <c r="M31" s="185" t="s">
        <v>284</v>
      </c>
    </row>
    <row r="32" spans="2:13">
      <c r="B32" s="8" t="s">
        <v>201</v>
      </c>
      <c r="C32" s="184">
        <v>11.4</v>
      </c>
      <c r="D32" s="184">
        <v>6.4</v>
      </c>
      <c r="E32" s="184">
        <v>3.6</v>
      </c>
      <c r="F32" s="184">
        <v>4.0999999999999996</v>
      </c>
      <c r="G32" s="184">
        <v>5.3</v>
      </c>
      <c r="H32" s="184">
        <v>59.8</v>
      </c>
      <c r="I32" s="184">
        <v>71.3</v>
      </c>
      <c r="J32" s="184">
        <v>3</v>
      </c>
      <c r="K32" s="184">
        <v>7</v>
      </c>
      <c r="L32" s="184">
        <v>0.3</v>
      </c>
      <c r="M32" s="185" t="s">
        <v>284</v>
      </c>
    </row>
    <row r="33" spans="2:13">
      <c r="B33" s="8" t="s">
        <v>202</v>
      </c>
      <c r="C33" s="184">
        <v>8.4</v>
      </c>
      <c r="D33" s="184">
        <v>4.9000000000000004</v>
      </c>
      <c r="E33" s="184">
        <v>3.7</v>
      </c>
      <c r="F33" s="184">
        <v>6.1</v>
      </c>
      <c r="G33" s="184">
        <v>1.6</v>
      </c>
      <c r="H33" s="184">
        <v>56.6</v>
      </c>
      <c r="I33" s="184">
        <v>66.5</v>
      </c>
      <c r="J33" s="184">
        <v>0.7</v>
      </c>
      <c r="K33" s="184">
        <v>6.6</v>
      </c>
      <c r="L33" s="184">
        <v>0.6</v>
      </c>
      <c r="M33" s="185" t="s">
        <v>284</v>
      </c>
    </row>
    <row r="34" spans="2:13">
      <c r="B34" s="8" t="s">
        <v>203</v>
      </c>
      <c r="C34" s="184">
        <v>15.5</v>
      </c>
      <c r="D34" s="184">
        <v>5.4</v>
      </c>
      <c r="E34" s="184">
        <v>2.7</v>
      </c>
      <c r="F34" s="184">
        <v>8.1</v>
      </c>
      <c r="G34" s="184">
        <v>13.2</v>
      </c>
      <c r="H34" s="184">
        <v>59.5</v>
      </c>
      <c r="I34" s="184">
        <v>69.5</v>
      </c>
      <c r="J34" s="184">
        <v>0.8</v>
      </c>
      <c r="K34" s="184">
        <v>7.5</v>
      </c>
      <c r="L34" s="184">
        <v>0.3</v>
      </c>
      <c r="M34" s="185" t="s">
        <v>284</v>
      </c>
    </row>
    <row r="35" spans="2:13">
      <c r="B35" s="8" t="s">
        <v>204</v>
      </c>
      <c r="C35" s="184">
        <v>11.5</v>
      </c>
      <c r="D35" s="184">
        <v>3.7</v>
      </c>
      <c r="E35" s="184">
        <v>2.1</v>
      </c>
      <c r="F35" s="184">
        <v>4.5</v>
      </c>
      <c r="G35" s="184">
        <v>1.5</v>
      </c>
      <c r="H35" s="184">
        <v>56</v>
      </c>
      <c r="I35" s="184">
        <v>65.7</v>
      </c>
      <c r="J35" s="184">
        <v>1.5</v>
      </c>
      <c r="K35" s="184">
        <v>6.8</v>
      </c>
      <c r="L35" s="184">
        <v>0.4</v>
      </c>
      <c r="M35" s="185" t="s">
        <v>284</v>
      </c>
    </row>
    <row r="36" spans="2:13">
      <c r="B36" s="8" t="s">
        <v>205</v>
      </c>
      <c r="C36" s="184">
        <v>8.3000000000000007</v>
      </c>
      <c r="D36" s="184">
        <v>3.9</v>
      </c>
      <c r="E36" s="184">
        <v>1.8</v>
      </c>
      <c r="F36" s="184">
        <v>4.8</v>
      </c>
      <c r="G36" s="184">
        <v>6.6</v>
      </c>
      <c r="H36" s="184">
        <v>57.4</v>
      </c>
      <c r="I36" s="184">
        <v>67.5</v>
      </c>
      <c r="J36" s="184">
        <v>0.6</v>
      </c>
      <c r="K36" s="184">
        <v>8.4</v>
      </c>
      <c r="L36" s="184">
        <v>0.4</v>
      </c>
      <c r="M36" s="185" t="s">
        <v>284</v>
      </c>
    </row>
    <row r="37" spans="2:13">
      <c r="B37" s="8" t="s">
        <v>206</v>
      </c>
      <c r="C37" s="184">
        <v>10.5</v>
      </c>
      <c r="D37" s="184">
        <v>3.1</v>
      </c>
      <c r="E37" s="184">
        <v>1.7</v>
      </c>
      <c r="F37" s="184">
        <v>5.4</v>
      </c>
      <c r="G37" s="184">
        <v>3.1</v>
      </c>
      <c r="H37" s="184">
        <v>56.8</v>
      </c>
      <c r="I37" s="184">
        <v>66.5</v>
      </c>
      <c r="J37" s="184">
        <v>1.1000000000000001</v>
      </c>
      <c r="K37" s="184">
        <v>8.4</v>
      </c>
      <c r="L37" s="184">
        <v>0.4</v>
      </c>
      <c r="M37" s="185" t="s">
        <v>284</v>
      </c>
    </row>
    <row r="38" spans="2:13">
      <c r="B38" s="11"/>
      <c r="C38" s="184"/>
      <c r="D38" s="184"/>
      <c r="E38" s="184"/>
      <c r="F38" s="184"/>
      <c r="G38" s="184"/>
      <c r="H38" s="184"/>
      <c r="I38" s="184"/>
      <c r="J38" s="184"/>
      <c r="K38" s="184"/>
      <c r="L38" s="184"/>
      <c r="M38" s="185"/>
    </row>
    <row r="39" spans="2:13">
      <c r="B39" s="8" t="s">
        <v>161</v>
      </c>
      <c r="C39" s="184">
        <v>6.2</v>
      </c>
      <c r="D39" s="184">
        <v>2.7</v>
      </c>
      <c r="E39" s="184">
        <v>1.8</v>
      </c>
      <c r="F39" s="184">
        <v>3.6</v>
      </c>
      <c r="G39" s="184">
        <v>4.8</v>
      </c>
      <c r="H39" s="184">
        <v>50.5</v>
      </c>
      <c r="I39" s="184">
        <v>60.1</v>
      </c>
      <c r="J39" s="184">
        <v>0.8</v>
      </c>
      <c r="K39" s="184">
        <v>8.1999999999999993</v>
      </c>
      <c r="L39" s="184">
        <v>0.2</v>
      </c>
      <c r="M39" s="185" t="s">
        <v>284</v>
      </c>
    </row>
    <row r="40" spans="2:13">
      <c r="B40" s="8" t="s">
        <v>207</v>
      </c>
      <c r="C40" s="184">
        <v>3.5</v>
      </c>
      <c r="D40" s="184">
        <v>2.5</v>
      </c>
      <c r="E40" s="184">
        <v>1.5</v>
      </c>
      <c r="F40" s="184">
        <v>3.9</v>
      </c>
      <c r="G40" s="184">
        <v>0.6</v>
      </c>
      <c r="H40" s="184">
        <v>46.3</v>
      </c>
      <c r="I40" s="184">
        <v>54.5</v>
      </c>
      <c r="J40" s="184">
        <v>2.2000000000000002</v>
      </c>
      <c r="K40" s="184">
        <v>7.4</v>
      </c>
      <c r="L40" s="185" t="s">
        <v>288</v>
      </c>
      <c r="M40" s="185" t="s">
        <v>284</v>
      </c>
    </row>
    <row r="41" spans="2:13">
      <c r="B41" s="8" t="s">
        <v>208</v>
      </c>
      <c r="C41" s="184">
        <v>2.2000000000000002</v>
      </c>
      <c r="D41" s="184">
        <v>2.2999999999999998</v>
      </c>
      <c r="E41" s="184">
        <v>1.1000000000000001</v>
      </c>
      <c r="F41" s="184">
        <v>4</v>
      </c>
      <c r="G41" s="184">
        <v>3.7</v>
      </c>
      <c r="H41" s="184">
        <v>42.7</v>
      </c>
      <c r="I41" s="184">
        <v>50</v>
      </c>
      <c r="J41" s="184">
        <v>0.5</v>
      </c>
      <c r="K41" s="184">
        <v>7.7</v>
      </c>
      <c r="L41" s="185" t="s">
        <v>288</v>
      </c>
      <c r="M41" s="185" t="s">
        <v>284</v>
      </c>
    </row>
    <row r="42" spans="2:13">
      <c r="B42" s="8" t="s">
        <v>209</v>
      </c>
      <c r="C42" s="184">
        <v>2.2999999999999998</v>
      </c>
      <c r="D42" s="184">
        <v>3.2</v>
      </c>
      <c r="E42" s="184">
        <v>1</v>
      </c>
      <c r="F42" s="184">
        <v>3.1</v>
      </c>
      <c r="G42" s="184">
        <v>2.2000000000000002</v>
      </c>
      <c r="H42" s="184">
        <v>40.200000000000003</v>
      </c>
      <c r="I42" s="184">
        <v>47.3</v>
      </c>
      <c r="J42" s="185" t="s">
        <v>288</v>
      </c>
      <c r="K42" s="184">
        <v>6.6</v>
      </c>
      <c r="L42" s="184">
        <v>0.1</v>
      </c>
      <c r="M42" s="185" t="s">
        <v>284</v>
      </c>
    </row>
    <row r="43" spans="2:13">
      <c r="B43" s="8" t="s">
        <v>210</v>
      </c>
      <c r="C43" s="184">
        <v>0.8</v>
      </c>
      <c r="D43" s="184">
        <v>3.4</v>
      </c>
      <c r="E43" s="184">
        <v>1.3</v>
      </c>
      <c r="F43" s="184">
        <v>2.8</v>
      </c>
      <c r="G43" s="184">
        <v>0.7</v>
      </c>
      <c r="H43" s="184">
        <v>38.1</v>
      </c>
      <c r="I43" s="184">
        <v>43.9</v>
      </c>
      <c r="J43" s="184">
        <v>0.5</v>
      </c>
      <c r="K43" s="184">
        <v>8</v>
      </c>
      <c r="L43" s="184">
        <v>0.2</v>
      </c>
      <c r="M43" s="185" t="s">
        <v>284</v>
      </c>
    </row>
    <row r="44" spans="2:13">
      <c r="B44" s="8" t="s">
        <v>211</v>
      </c>
      <c r="C44" s="184">
        <v>1.1000000000000001</v>
      </c>
      <c r="D44" s="184">
        <v>1.9</v>
      </c>
      <c r="E44" s="184">
        <v>0.7</v>
      </c>
      <c r="F44" s="184">
        <v>2.6</v>
      </c>
      <c r="G44" s="184">
        <v>3.6</v>
      </c>
      <c r="H44" s="184">
        <v>34.5</v>
      </c>
      <c r="I44" s="184">
        <v>40.5</v>
      </c>
      <c r="J44" s="184">
        <v>0.6</v>
      </c>
      <c r="K44" s="184">
        <v>7.8</v>
      </c>
      <c r="L44" s="185" t="s">
        <v>288</v>
      </c>
      <c r="M44" s="185" t="s">
        <v>284</v>
      </c>
    </row>
    <row r="45" spans="2:13">
      <c r="B45" s="8" t="s">
        <v>212</v>
      </c>
      <c r="C45" s="184">
        <v>1</v>
      </c>
      <c r="D45" s="184">
        <v>2.2000000000000002</v>
      </c>
      <c r="E45" s="184">
        <v>0.7</v>
      </c>
      <c r="F45" s="184">
        <v>2.1</v>
      </c>
      <c r="G45" s="184">
        <v>0.2</v>
      </c>
      <c r="H45" s="184">
        <v>35.700000000000003</v>
      </c>
      <c r="I45" s="184">
        <v>41.3</v>
      </c>
      <c r="J45" s="184">
        <v>0.4</v>
      </c>
      <c r="K45" s="184">
        <v>7.7</v>
      </c>
      <c r="L45" s="184">
        <v>0.1</v>
      </c>
      <c r="M45" s="185" t="s">
        <v>284</v>
      </c>
    </row>
    <row r="46" spans="2:13">
      <c r="B46" s="8" t="s">
        <v>213</v>
      </c>
      <c r="C46" s="184">
        <v>1.4</v>
      </c>
      <c r="D46" s="184">
        <v>2.9</v>
      </c>
      <c r="E46" s="184">
        <v>0.6</v>
      </c>
      <c r="F46" s="184">
        <v>2.6</v>
      </c>
      <c r="G46" s="184">
        <v>0.2</v>
      </c>
      <c r="H46" s="184">
        <v>36.200000000000003</v>
      </c>
      <c r="I46" s="184">
        <v>41.3</v>
      </c>
      <c r="J46" s="184">
        <v>1</v>
      </c>
      <c r="K46" s="184">
        <v>7.8</v>
      </c>
      <c r="L46" s="184">
        <v>0.2</v>
      </c>
      <c r="M46" s="185" t="s">
        <v>284</v>
      </c>
    </row>
    <row r="47" spans="2:13">
      <c r="B47" s="8" t="s">
        <v>214</v>
      </c>
      <c r="C47" s="184">
        <v>0.9</v>
      </c>
      <c r="D47" s="184">
        <v>1.7</v>
      </c>
      <c r="E47" s="184">
        <v>0.4</v>
      </c>
      <c r="F47" s="184">
        <v>2.2000000000000002</v>
      </c>
      <c r="G47" s="184">
        <v>1.9</v>
      </c>
      <c r="H47" s="184">
        <v>31.6</v>
      </c>
      <c r="I47" s="184">
        <v>36.1</v>
      </c>
      <c r="J47" s="184">
        <v>0.2</v>
      </c>
      <c r="K47" s="184">
        <v>7.8</v>
      </c>
      <c r="L47" s="184">
        <v>0.2</v>
      </c>
      <c r="M47" s="185" t="s">
        <v>284</v>
      </c>
    </row>
    <row r="48" spans="2:13">
      <c r="B48" s="8" t="s">
        <v>215</v>
      </c>
      <c r="C48" s="184">
        <v>0.5</v>
      </c>
      <c r="D48" s="184">
        <v>1.3</v>
      </c>
      <c r="E48" s="184">
        <v>0.5</v>
      </c>
      <c r="F48" s="184">
        <v>1.5</v>
      </c>
      <c r="G48" s="184">
        <v>0.6</v>
      </c>
      <c r="H48" s="184">
        <v>31.7</v>
      </c>
      <c r="I48" s="184">
        <v>36.1</v>
      </c>
      <c r="J48" s="184">
        <v>0.8</v>
      </c>
      <c r="K48" s="184">
        <v>7.5</v>
      </c>
      <c r="L48" s="185" t="s">
        <v>288</v>
      </c>
      <c r="M48" s="185" t="s">
        <v>284</v>
      </c>
    </row>
    <row r="49" spans="2:13">
      <c r="B49" s="11"/>
      <c r="C49" s="184"/>
      <c r="D49" s="184"/>
      <c r="E49" s="184"/>
      <c r="F49" s="184"/>
      <c r="G49" s="184"/>
      <c r="H49" s="184"/>
      <c r="I49" s="184"/>
      <c r="J49" s="184"/>
      <c r="K49" s="184"/>
      <c r="L49" s="184"/>
      <c r="M49" s="185"/>
    </row>
    <row r="50" spans="2:13">
      <c r="B50" s="8" t="s">
        <v>162</v>
      </c>
      <c r="C50" s="184">
        <v>0.4</v>
      </c>
      <c r="D50" s="184">
        <v>0.8</v>
      </c>
      <c r="E50" s="184">
        <v>0.2</v>
      </c>
      <c r="F50" s="184">
        <v>1.1000000000000001</v>
      </c>
      <c r="G50" s="184">
        <v>0.4</v>
      </c>
      <c r="H50" s="184">
        <v>29.4</v>
      </c>
      <c r="I50" s="184">
        <v>33.299999999999997</v>
      </c>
      <c r="J50" s="184">
        <v>1.4</v>
      </c>
      <c r="K50" s="184">
        <v>11.2</v>
      </c>
      <c r="L50" s="185" t="s">
        <v>288</v>
      </c>
      <c r="M50" s="185" t="s">
        <v>284</v>
      </c>
    </row>
    <row r="51" spans="2:13">
      <c r="B51" s="8" t="s">
        <v>216</v>
      </c>
      <c r="C51" s="184">
        <v>0.3</v>
      </c>
      <c r="D51" s="184">
        <v>0.6</v>
      </c>
      <c r="E51" s="184">
        <v>0.3</v>
      </c>
      <c r="F51" s="184">
        <v>1.7</v>
      </c>
      <c r="G51" s="184">
        <v>1.2</v>
      </c>
      <c r="H51" s="184">
        <v>28.2</v>
      </c>
      <c r="I51" s="184">
        <v>31.7</v>
      </c>
      <c r="J51" s="184">
        <v>0.3</v>
      </c>
      <c r="K51" s="184">
        <v>9.9</v>
      </c>
      <c r="L51" s="185" t="s">
        <v>288</v>
      </c>
      <c r="M51" s="185" t="s">
        <v>284</v>
      </c>
    </row>
    <row r="52" spans="2:13">
      <c r="B52" s="8" t="s">
        <v>217</v>
      </c>
      <c r="C52" s="184">
        <v>0.4</v>
      </c>
      <c r="D52" s="184">
        <v>0.4</v>
      </c>
      <c r="E52" s="185" t="s">
        <v>288</v>
      </c>
      <c r="F52" s="184">
        <v>1.3</v>
      </c>
      <c r="G52" s="184">
        <v>0.1</v>
      </c>
      <c r="H52" s="184">
        <v>29.4</v>
      </c>
      <c r="I52" s="184">
        <v>33</v>
      </c>
      <c r="J52" s="184">
        <v>0.2</v>
      </c>
      <c r="K52" s="184">
        <v>10.1</v>
      </c>
      <c r="L52" s="184">
        <v>0.1</v>
      </c>
      <c r="M52" s="185" t="s">
        <v>284</v>
      </c>
    </row>
    <row r="53" spans="2:13">
      <c r="B53" s="8" t="s">
        <v>218</v>
      </c>
      <c r="C53" s="184">
        <v>0.4</v>
      </c>
      <c r="D53" s="184">
        <v>0.2</v>
      </c>
      <c r="E53" s="184">
        <v>0.2</v>
      </c>
      <c r="F53" s="184">
        <v>1.9</v>
      </c>
      <c r="G53" s="184">
        <v>1.7</v>
      </c>
      <c r="H53" s="184">
        <v>29.5</v>
      </c>
      <c r="I53" s="184">
        <v>33.5</v>
      </c>
      <c r="J53" s="184">
        <v>0.5</v>
      </c>
      <c r="K53" s="184">
        <v>10.8</v>
      </c>
      <c r="L53" s="185" t="s">
        <v>288</v>
      </c>
      <c r="M53" s="185" t="s">
        <v>284</v>
      </c>
    </row>
    <row r="54" spans="2:13">
      <c r="B54" s="8" t="s">
        <v>219</v>
      </c>
      <c r="C54" s="184">
        <v>0.6</v>
      </c>
      <c r="D54" s="184">
        <v>0.1</v>
      </c>
      <c r="E54" s="184">
        <v>0.1</v>
      </c>
      <c r="F54" s="184">
        <v>0.6</v>
      </c>
      <c r="G54" s="184">
        <v>0.9</v>
      </c>
      <c r="H54" s="184">
        <v>28.7</v>
      </c>
      <c r="I54" s="184">
        <v>32.5</v>
      </c>
      <c r="J54" s="184">
        <v>0.8</v>
      </c>
      <c r="K54" s="184">
        <v>10.1</v>
      </c>
      <c r="L54" s="185" t="s">
        <v>288</v>
      </c>
      <c r="M54" s="185" t="s">
        <v>284</v>
      </c>
    </row>
    <row r="55" spans="2:13">
      <c r="B55" s="8" t="s">
        <v>220</v>
      </c>
      <c r="C55" s="184">
        <v>0.8</v>
      </c>
      <c r="D55" s="184">
        <v>0.2</v>
      </c>
      <c r="E55" s="185" t="s">
        <v>288</v>
      </c>
      <c r="F55" s="184">
        <v>0.7</v>
      </c>
      <c r="G55" s="184">
        <v>0.2</v>
      </c>
      <c r="H55" s="184">
        <v>29.3</v>
      </c>
      <c r="I55" s="184">
        <v>32.299999999999997</v>
      </c>
      <c r="J55" s="184">
        <v>0.4</v>
      </c>
      <c r="K55" s="184">
        <v>9.6999999999999993</v>
      </c>
      <c r="L55" s="185" t="s">
        <v>288</v>
      </c>
      <c r="M55" s="185" t="s">
        <v>284</v>
      </c>
    </row>
    <row r="56" spans="2:13">
      <c r="B56" s="8" t="s">
        <v>221</v>
      </c>
      <c r="C56" s="184">
        <v>0.5</v>
      </c>
      <c r="D56" s="185" t="s">
        <v>288</v>
      </c>
      <c r="E56" s="184">
        <v>0.1</v>
      </c>
      <c r="F56" s="184">
        <v>0.8</v>
      </c>
      <c r="G56" s="184">
        <v>0.8</v>
      </c>
      <c r="H56" s="184">
        <v>28.8</v>
      </c>
      <c r="I56" s="184">
        <v>32.299999999999997</v>
      </c>
      <c r="J56" s="184">
        <v>1.6</v>
      </c>
      <c r="K56" s="184">
        <v>9.6</v>
      </c>
      <c r="L56" s="185" t="s">
        <v>284</v>
      </c>
      <c r="M56" s="185" t="s">
        <v>284</v>
      </c>
    </row>
    <row r="57" spans="2:13">
      <c r="B57" s="8" t="s">
        <v>222</v>
      </c>
      <c r="C57" s="184">
        <v>0.4</v>
      </c>
      <c r="D57" s="184">
        <v>0.1</v>
      </c>
      <c r="E57" s="185" t="s">
        <v>288</v>
      </c>
      <c r="F57" s="184">
        <v>1</v>
      </c>
      <c r="G57" s="185" t="s">
        <v>288</v>
      </c>
      <c r="H57" s="184">
        <v>24.4</v>
      </c>
      <c r="I57" s="184">
        <v>27.1</v>
      </c>
      <c r="J57" s="184">
        <v>0.5</v>
      </c>
      <c r="K57" s="184">
        <v>8.3000000000000007</v>
      </c>
      <c r="L57" s="185" t="s">
        <v>288</v>
      </c>
      <c r="M57" s="185" t="s">
        <v>284</v>
      </c>
    </row>
    <row r="58" spans="2:13">
      <c r="B58" s="8" t="s">
        <v>223</v>
      </c>
      <c r="C58" s="184">
        <v>0.1</v>
      </c>
      <c r="D58" s="185" t="s">
        <v>288</v>
      </c>
      <c r="E58" s="185" t="s">
        <v>288</v>
      </c>
      <c r="F58" s="184">
        <v>0.1</v>
      </c>
      <c r="G58" s="184">
        <v>0.7</v>
      </c>
      <c r="H58" s="184">
        <v>22.5</v>
      </c>
      <c r="I58" s="184">
        <v>25.2</v>
      </c>
      <c r="J58" s="184">
        <v>0.9</v>
      </c>
      <c r="K58" s="184">
        <v>8.3000000000000007</v>
      </c>
      <c r="L58" s="185" t="s">
        <v>284</v>
      </c>
      <c r="M58" s="185" t="s">
        <v>284</v>
      </c>
    </row>
    <row r="59" spans="2:13">
      <c r="B59" s="8" t="s">
        <v>224</v>
      </c>
      <c r="C59" s="184">
        <v>0.2</v>
      </c>
      <c r="D59" s="185" t="s">
        <v>288</v>
      </c>
      <c r="E59" s="185" t="s">
        <v>288</v>
      </c>
      <c r="F59" s="184">
        <v>0.3</v>
      </c>
      <c r="G59" s="184">
        <v>0.5</v>
      </c>
      <c r="H59" s="184">
        <v>19.7</v>
      </c>
      <c r="I59" s="184">
        <v>22</v>
      </c>
      <c r="J59" s="184">
        <v>3.4</v>
      </c>
      <c r="K59" s="184">
        <v>7.2</v>
      </c>
      <c r="L59" s="185" t="s">
        <v>284</v>
      </c>
      <c r="M59" s="185" t="s">
        <v>284</v>
      </c>
    </row>
    <row r="60" spans="2:13">
      <c r="B60" s="8"/>
      <c r="C60" s="184"/>
      <c r="D60" s="185"/>
      <c r="E60" s="185"/>
      <c r="F60" s="184"/>
      <c r="G60" s="184"/>
      <c r="H60" s="184"/>
      <c r="I60" s="184"/>
      <c r="J60" s="184"/>
      <c r="K60" s="184"/>
      <c r="L60" s="185"/>
      <c r="M60" s="185"/>
    </row>
    <row r="61" spans="2:13">
      <c r="B61" s="8" t="s">
        <v>163</v>
      </c>
      <c r="C61" s="185" t="s">
        <v>288</v>
      </c>
      <c r="D61" s="185" t="s">
        <v>288</v>
      </c>
      <c r="E61" s="185" t="s">
        <v>288</v>
      </c>
      <c r="F61" s="184">
        <v>0.4</v>
      </c>
      <c r="G61" s="184">
        <v>0.4</v>
      </c>
      <c r="H61" s="184">
        <v>17.8</v>
      </c>
      <c r="I61" s="184">
        <v>19.899999999999999</v>
      </c>
      <c r="J61" s="184">
        <v>2</v>
      </c>
      <c r="K61" s="184">
        <v>5.0999999999999996</v>
      </c>
      <c r="L61" s="185" t="s">
        <v>288</v>
      </c>
      <c r="M61" s="185" t="s">
        <v>284</v>
      </c>
    </row>
    <row r="62" spans="2:13">
      <c r="B62" s="8" t="s">
        <v>225</v>
      </c>
      <c r="C62" s="184">
        <v>0.1</v>
      </c>
      <c r="D62" s="185" t="s">
        <v>284</v>
      </c>
      <c r="E62" s="185" t="s">
        <v>288</v>
      </c>
      <c r="F62" s="184">
        <v>0.3</v>
      </c>
      <c r="G62" s="184">
        <v>0.2</v>
      </c>
      <c r="H62" s="184">
        <v>16</v>
      </c>
      <c r="I62" s="184">
        <v>17.600000000000001</v>
      </c>
      <c r="J62" s="184">
        <v>1</v>
      </c>
      <c r="K62" s="184">
        <v>4.5999999999999996</v>
      </c>
      <c r="L62" s="185" t="s">
        <v>288</v>
      </c>
      <c r="M62" s="185" t="s">
        <v>284</v>
      </c>
    </row>
    <row r="63" spans="2:13">
      <c r="B63" s="8" t="s">
        <v>226</v>
      </c>
      <c r="C63" s="185" t="s">
        <v>288</v>
      </c>
      <c r="D63" s="185" t="s">
        <v>284</v>
      </c>
      <c r="E63" s="185" t="s">
        <v>284</v>
      </c>
      <c r="F63" s="184">
        <v>0.1</v>
      </c>
      <c r="G63" s="184">
        <v>0.3</v>
      </c>
      <c r="H63" s="184">
        <v>10.3</v>
      </c>
      <c r="I63" s="184">
        <v>11.6</v>
      </c>
      <c r="J63" s="184">
        <v>3.2</v>
      </c>
      <c r="K63" s="184">
        <v>2.6</v>
      </c>
      <c r="L63" s="185" t="s">
        <v>288</v>
      </c>
      <c r="M63" s="185" t="s">
        <v>284</v>
      </c>
    </row>
    <row r="64" spans="2:13">
      <c r="B64" s="8" t="s">
        <v>227</v>
      </c>
      <c r="C64" s="185" t="s">
        <v>288</v>
      </c>
      <c r="D64" s="185" t="s">
        <v>288</v>
      </c>
      <c r="E64" s="185" t="s">
        <v>284</v>
      </c>
      <c r="F64" s="184">
        <v>0.2</v>
      </c>
      <c r="G64" s="184">
        <v>0.2</v>
      </c>
      <c r="H64" s="184">
        <v>7.8</v>
      </c>
      <c r="I64" s="184">
        <v>8.9</v>
      </c>
      <c r="J64" s="184">
        <v>1.6</v>
      </c>
      <c r="K64" s="184">
        <v>2.7</v>
      </c>
      <c r="L64" s="185" t="s">
        <v>288</v>
      </c>
      <c r="M64" s="185" t="s">
        <v>284</v>
      </c>
    </row>
    <row r="65" spans="2:13">
      <c r="B65" s="8" t="s">
        <v>228</v>
      </c>
      <c r="C65" s="185" t="s">
        <v>288</v>
      </c>
      <c r="D65" s="185" t="s">
        <v>288</v>
      </c>
      <c r="E65" s="185" t="s">
        <v>284</v>
      </c>
      <c r="F65" s="184">
        <v>0.2</v>
      </c>
      <c r="G65" s="184">
        <v>0.2</v>
      </c>
      <c r="H65" s="184">
        <v>6.7</v>
      </c>
      <c r="I65" s="184">
        <v>7.5</v>
      </c>
      <c r="J65" s="184">
        <v>1.3</v>
      </c>
      <c r="K65" s="184">
        <v>2</v>
      </c>
      <c r="L65" s="185" t="s">
        <v>288</v>
      </c>
      <c r="M65" s="185" t="s">
        <v>284</v>
      </c>
    </row>
    <row r="66" spans="2:13">
      <c r="B66" s="8" t="s">
        <v>229</v>
      </c>
      <c r="C66" s="185" t="s">
        <v>288</v>
      </c>
      <c r="D66" s="185" t="s">
        <v>288</v>
      </c>
      <c r="E66" s="185" t="s">
        <v>288</v>
      </c>
      <c r="F66" s="184">
        <v>0.1</v>
      </c>
      <c r="G66" s="184">
        <v>0.1</v>
      </c>
      <c r="H66" s="184">
        <v>6</v>
      </c>
      <c r="I66" s="184">
        <v>6.6</v>
      </c>
      <c r="J66" s="184">
        <v>0.4</v>
      </c>
      <c r="K66" s="184">
        <v>1.6</v>
      </c>
      <c r="L66" s="185" t="s">
        <v>288</v>
      </c>
      <c r="M66" s="185" t="s">
        <v>284</v>
      </c>
    </row>
    <row r="67" spans="2:13">
      <c r="B67" s="8" t="s">
        <v>230</v>
      </c>
      <c r="C67" s="184">
        <v>0.1</v>
      </c>
      <c r="D67" s="185" t="s">
        <v>288</v>
      </c>
      <c r="E67" s="185" t="s">
        <v>284</v>
      </c>
      <c r="F67" s="184">
        <v>0.1</v>
      </c>
      <c r="G67" s="184">
        <v>0.3</v>
      </c>
      <c r="H67" s="184">
        <v>5.7</v>
      </c>
      <c r="I67" s="184">
        <v>6.2</v>
      </c>
      <c r="J67" s="184">
        <v>0.3</v>
      </c>
      <c r="K67" s="184">
        <v>1.5</v>
      </c>
      <c r="L67" s="185" t="s">
        <v>288</v>
      </c>
      <c r="M67" s="185" t="s">
        <v>284</v>
      </c>
    </row>
    <row r="68" spans="2:13">
      <c r="B68" s="8" t="s">
        <v>231</v>
      </c>
      <c r="C68" s="185" t="s">
        <v>288</v>
      </c>
      <c r="D68" s="185" t="s">
        <v>284</v>
      </c>
      <c r="E68" s="185" t="s">
        <v>284</v>
      </c>
      <c r="F68" s="184">
        <v>0.1</v>
      </c>
      <c r="G68" s="184">
        <v>0.3</v>
      </c>
      <c r="H68" s="184">
        <v>5.2</v>
      </c>
      <c r="I68" s="184">
        <v>5.7</v>
      </c>
      <c r="J68" s="184">
        <v>0.2</v>
      </c>
      <c r="K68" s="184">
        <v>1.3</v>
      </c>
      <c r="L68" s="185" t="s">
        <v>288</v>
      </c>
      <c r="M68" s="185" t="s">
        <v>284</v>
      </c>
    </row>
    <row r="69" spans="2:13">
      <c r="B69" s="8" t="s">
        <v>232</v>
      </c>
      <c r="C69" s="185" t="s">
        <v>284</v>
      </c>
      <c r="D69" s="185" t="s">
        <v>284</v>
      </c>
      <c r="E69" s="185" t="s">
        <v>284</v>
      </c>
      <c r="F69" s="185" t="s">
        <v>288</v>
      </c>
      <c r="G69" s="184">
        <v>0.2</v>
      </c>
      <c r="H69" s="184">
        <v>4.5</v>
      </c>
      <c r="I69" s="184">
        <v>5</v>
      </c>
      <c r="J69" s="184">
        <v>0.5</v>
      </c>
      <c r="K69" s="184">
        <v>1.1000000000000001</v>
      </c>
      <c r="L69" s="184">
        <v>0.1</v>
      </c>
      <c r="M69" s="185" t="s">
        <v>284</v>
      </c>
    </row>
    <row r="70" spans="2:13">
      <c r="B70" s="8" t="s">
        <v>233</v>
      </c>
      <c r="C70" s="185" t="s">
        <v>288</v>
      </c>
      <c r="D70" s="185" t="s">
        <v>288</v>
      </c>
      <c r="E70" s="185" t="s">
        <v>288</v>
      </c>
      <c r="F70" s="185" t="s">
        <v>288</v>
      </c>
      <c r="G70" s="184">
        <v>0.1</v>
      </c>
      <c r="H70" s="184">
        <v>4.2</v>
      </c>
      <c r="I70" s="184">
        <v>4.5999999999999996</v>
      </c>
      <c r="J70" s="184">
        <v>0.2</v>
      </c>
      <c r="K70" s="184">
        <v>1.1000000000000001</v>
      </c>
      <c r="L70" s="185" t="s">
        <v>288</v>
      </c>
      <c r="M70" s="185" t="s">
        <v>284</v>
      </c>
    </row>
    <row r="71" spans="2:13">
      <c r="B71" s="11"/>
      <c r="C71" s="102"/>
      <c r="D71" s="102"/>
      <c r="E71" s="102"/>
      <c r="F71" s="102"/>
      <c r="G71" s="102"/>
      <c r="H71" s="102"/>
      <c r="I71" s="102"/>
      <c r="J71" s="102"/>
      <c r="K71" s="102"/>
      <c r="L71" s="102"/>
      <c r="M71" s="185"/>
    </row>
    <row r="72" spans="2:13">
      <c r="B72" s="8" t="s">
        <v>164</v>
      </c>
      <c r="C72" s="185" t="s">
        <v>288</v>
      </c>
      <c r="D72" s="185" t="s">
        <v>288</v>
      </c>
      <c r="E72" s="185" t="s">
        <v>284</v>
      </c>
      <c r="F72" s="185" t="s">
        <v>288</v>
      </c>
      <c r="G72" s="184">
        <v>0.2</v>
      </c>
      <c r="H72" s="184">
        <v>4.7</v>
      </c>
      <c r="I72" s="184">
        <v>5</v>
      </c>
      <c r="J72" s="185" t="s">
        <v>288</v>
      </c>
      <c r="K72" s="184">
        <v>1</v>
      </c>
      <c r="L72" s="184">
        <v>0.1</v>
      </c>
      <c r="M72" s="185" t="s">
        <v>284</v>
      </c>
    </row>
    <row r="73" spans="2:13">
      <c r="B73" s="8" t="s">
        <v>234</v>
      </c>
      <c r="C73" s="185" t="s">
        <v>288</v>
      </c>
      <c r="D73" s="185" t="s">
        <v>288</v>
      </c>
      <c r="E73" s="185" t="s">
        <v>284</v>
      </c>
      <c r="F73" s="185" t="s">
        <v>288</v>
      </c>
      <c r="G73" s="184">
        <v>0.2</v>
      </c>
      <c r="H73" s="184">
        <v>3.9</v>
      </c>
      <c r="I73" s="184">
        <v>4.2</v>
      </c>
      <c r="J73" s="185" t="s">
        <v>284</v>
      </c>
      <c r="K73" s="184">
        <v>0.9</v>
      </c>
      <c r="L73" s="184">
        <v>0.1</v>
      </c>
      <c r="M73" s="185" t="s">
        <v>284</v>
      </c>
    </row>
    <row r="74" spans="2:13">
      <c r="B74" s="8" t="s">
        <v>235</v>
      </c>
      <c r="C74" s="185" t="s">
        <v>288</v>
      </c>
      <c r="D74" s="185" t="s">
        <v>288</v>
      </c>
      <c r="E74" s="185" t="s">
        <v>284</v>
      </c>
      <c r="F74" s="185" t="s">
        <v>288</v>
      </c>
      <c r="G74" s="184">
        <v>0.1</v>
      </c>
      <c r="H74" s="184">
        <v>3.9</v>
      </c>
      <c r="I74" s="184">
        <v>4.2</v>
      </c>
      <c r="J74" s="185" t="s">
        <v>288</v>
      </c>
      <c r="K74" s="184">
        <v>1.2</v>
      </c>
      <c r="L74" s="185" t="s">
        <v>288</v>
      </c>
      <c r="M74" s="185" t="s">
        <v>284</v>
      </c>
    </row>
    <row r="75" spans="2:13">
      <c r="B75" s="8" t="s">
        <v>236</v>
      </c>
      <c r="C75" s="185" t="s">
        <v>284</v>
      </c>
      <c r="D75" s="185" t="s">
        <v>284</v>
      </c>
      <c r="E75" s="185" t="s">
        <v>284</v>
      </c>
      <c r="F75" s="185" t="s">
        <v>284</v>
      </c>
      <c r="G75" s="184">
        <v>0.3</v>
      </c>
      <c r="H75" s="184">
        <v>3.4</v>
      </c>
      <c r="I75" s="184">
        <v>3.7</v>
      </c>
      <c r="J75" s="185" t="s">
        <v>288</v>
      </c>
      <c r="K75" s="184">
        <v>0.9</v>
      </c>
      <c r="L75" s="185" t="s">
        <v>288</v>
      </c>
      <c r="M75" s="185" t="s">
        <v>284</v>
      </c>
    </row>
    <row r="76" spans="2:13">
      <c r="B76" s="8" t="s">
        <v>237</v>
      </c>
      <c r="C76" s="185" t="s">
        <v>284</v>
      </c>
      <c r="D76" s="185" t="s">
        <v>284</v>
      </c>
      <c r="E76" s="185" t="s">
        <v>284</v>
      </c>
      <c r="F76" s="185" t="s">
        <v>288</v>
      </c>
      <c r="G76" s="184">
        <v>0.1</v>
      </c>
      <c r="H76" s="184">
        <v>3.6</v>
      </c>
      <c r="I76" s="184">
        <v>3.9</v>
      </c>
      <c r="J76" s="185" t="s">
        <v>288</v>
      </c>
      <c r="K76" s="184">
        <v>0.8</v>
      </c>
      <c r="L76" s="185" t="s">
        <v>288</v>
      </c>
      <c r="M76" s="185" t="s">
        <v>284</v>
      </c>
    </row>
    <row r="77" spans="2:13">
      <c r="B77" s="8" t="s">
        <v>238</v>
      </c>
      <c r="C77" s="185" t="s">
        <v>284</v>
      </c>
      <c r="D77" s="185" t="s">
        <v>284</v>
      </c>
      <c r="E77" s="185" t="s">
        <v>284</v>
      </c>
      <c r="F77" s="185" t="s">
        <v>284</v>
      </c>
      <c r="G77" s="185" t="s">
        <v>288</v>
      </c>
      <c r="H77" s="184">
        <v>3.2</v>
      </c>
      <c r="I77" s="184">
        <v>3.5</v>
      </c>
      <c r="J77" s="185" t="s">
        <v>284</v>
      </c>
      <c r="K77" s="184">
        <v>0.8</v>
      </c>
      <c r="L77" s="185" t="s">
        <v>288</v>
      </c>
      <c r="M77" s="185" t="s">
        <v>284</v>
      </c>
    </row>
    <row r="78" spans="2:13">
      <c r="B78" s="8" t="s">
        <v>239</v>
      </c>
      <c r="C78" s="185" t="s">
        <v>288</v>
      </c>
      <c r="D78" s="185" t="s">
        <v>284</v>
      </c>
      <c r="E78" s="185" t="s">
        <v>284</v>
      </c>
      <c r="F78" s="185" t="s">
        <v>284</v>
      </c>
      <c r="G78" s="184">
        <v>0.1</v>
      </c>
      <c r="H78" s="184">
        <v>3.4</v>
      </c>
      <c r="I78" s="184">
        <v>3.6</v>
      </c>
      <c r="J78" s="185" t="s">
        <v>284</v>
      </c>
      <c r="K78" s="184">
        <v>0.8</v>
      </c>
      <c r="L78" s="185" t="s">
        <v>284</v>
      </c>
      <c r="M78" s="185" t="s">
        <v>284</v>
      </c>
    </row>
    <row r="79" spans="2:13">
      <c r="B79" s="8" t="s">
        <v>240</v>
      </c>
      <c r="C79" s="185" t="s">
        <v>284</v>
      </c>
      <c r="D79" s="185" t="s">
        <v>284</v>
      </c>
      <c r="E79" s="185" t="s">
        <v>284</v>
      </c>
      <c r="F79" s="185" t="s">
        <v>284</v>
      </c>
      <c r="G79" s="185" t="s">
        <v>288</v>
      </c>
      <c r="H79" s="184">
        <v>2.4</v>
      </c>
      <c r="I79" s="184">
        <v>2.6</v>
      </c>
      <c r="J79" s="185" t="s">
        <v>284</v>
      </c>
      <c r="K79" s="184">
        <v>0.5</v>
      </c>
      <c r="L79" s="185" t="s">
        <v>288</v>
      </c>
      <c r="M79" s="185" t="s">
        <v>284</v>
      </c>
    </row>
    <row r="80" spans="2:13">
      <c r="B80" s="8" t="s">
        <v>241</v>
      </c>
      <c r="C80" s="185" t="s">
        <v>284</v>
      </c>
      <c r="D80" s="185" t="s">
        <v>288</v>
      </c>
      <c r="E80" s="185" t="s">
        <v>284</v>
      </c>
      <c r="F80" s="185" t="s">
        <v>284</v>
      </c>
      <c r="G80" s="185" t="s">
        <v>284</v>
      </c>
      <c r="H80" s="184">
        <v>2.2999999999999998</v>
      </c>
      <c r="I80" s="184">
        <v>3</v>
      </c>
      <c r="J80" s="185" t="s">
        <v>288</v>
      </c>
      <c r="K80" s="184">
        <v>0.3</v>
      </c>
      <c r="L80" s="185" t="s">
        <v>284</v>
      </c>
      <c r="M80" s="185" t="s">
        <v>284</v>
      </c>
    </row>
    <row r="81" spans="2:13">
      <c r="B81" s="8" t="s">
        <v>242</v>
      </c>
      <c r="C81" s="185" t="s">
        <v>284</v>
      </c>
      <c r="D81" s="185" t="s">
        <v>284</v>
      </c>
      <c r="E81" s="185" t="s">
        <v>284</v>
      </c>
      <c r="F81" s="185" t="s">
        <v>284</v>
      </c>
      <c r="G81" s="185" t="s">
        <v>284</v>
      </c>
      <c r="H81" s="184">
        <v>1.7</v>
      </c>
      <c r="I81" s="184">
        <v>2.2999999999999998</v>
      </c>
      <c r="J81" s="185" t="s">
        <v>284</v>
      </c>
      <c r="K81" s="184">
        <v>0.3</v>
      </c>
      <c r="L81" s="185" t="s">
        <v>288</v>
      </c>
      <c r="M81" s="185" t="s">
        <v>284</v>
      </c>
    </row>
    <row r="82" spans="2:13">
      <c r="B82" s="11"/>
      <c r="C82" s="184"/>
      <c r="D82" s="184"/>
      <c r="E82" s="184"/>
      <c r="F82" s="184"/>
      <c r="G82" s="184"/>
      <c r="H82" s="184"/>
      <c r="I82" s="184"/>
      <c r="J82" s="187"/>
      <c r="K82" s="184"/>
      <c r="L82" s="184"/>
      <c r="M82" s="185"/>
    </row>
    <row r="83" spans="2:13">
      <c r="B83" s="8" t="s">
        <v>165</v>
      </c>
      <c r="C83" s="185" t="s">
        <v>284</v>
      </c>
      <c r="D83" s="185" t="s">
        <v>288</v>
      </c>
      <c r="E83" s="185" t="s">
        <v>284</v>
      </c>
      <c r="F83" s="185" t="s">
        <v>284</v>
      </c>
      <c r="G83" s="185" t="s">
        <v>288</v>
      </c>
      <c r="H83" s="184">
        <v>1.5</v>
      </c>
      <c r="I83" s="184">
        <v>2</v>
      </c>
      <c r="J83" s="185" t="s">
        <v>284</v>
      </c>
      <c r="K83" s="184">
        <v>0.2</v>
      </c>
      <c r="L83" s="185" t="s">
        <v>288</v>
      </c>
      <c r="M83" s="185" t="s">
        <v>284</v>
      </c>
    </row>
    <row r="84" spans="2:13">
      <c r="B84" s="8" t="s">
        <v>243</v>
      </c>
      <c r="C84" s="185" t="s">
        <v>284</v>
      </c>
      <c r="D84" s="185" t="s">
        <v>288</v>
      </c>
      <c r="E84" s="185" t="s">
        <v>284</v>
      </c>
      <c r="F84" s="185" t="s">
        <v>284</v>
      </c>
      <c r="G84" s="185" t="s">
        <v>284</v>
      </c>
      <c r="H84" s="184">
        <v>1.4</v>
      </c>
      <c r="I84" s="184">
        <v>1.9</v>
      </c>
      <c r="J84" s="185" t="s">
        <v>284</v>
      </c>
      <c r="K84" s="184">
        <v>0.2</v>
      </c>
      <c r="L84" s="185" t="s">
        <v>284</v>
      </c>
      <c r="M84" s="185" t="s">
        <v>284</v>
      </c>
    </row>
    <row r="85" spans="2:13">
      <c r="B85" s="8" t="s">
        <v>244</v>
      </c>
      <c r="C85" s="185" t="s">
        <v>284</v>
      </c>
      <c r="D85" s="185" t="s">
        <v>288</v>
      </c>
      <c r="E85" s="185" t="s">
        <v>288</v>
      </c>
      <c r="F85" s="185" t="s">
        <v>284</v>
      </c>
      <c r="G85" s="185" t="s">
        <v>284</v>
      </c>
      <c r="H85" s="184">
        <v>1.2</v>
      </c>
      <c r="I85" s="184">
        <v>1.7</v>
      </c>
      <c r="J85" s="185" t="s">
        <v>288</v>
      </c>
      <c r="K85" s="184">
        <v>0.1</v>
      </c>
      <c r="L85" s="185" t="s">
        <v>284</v>
      </c>
      <c r="M85" s="185" t="s">
        <v>284</v>
      </c>
    </row>
    <row r="86" spans="2:13">
      <c r="B86" s="8" t="s">
        <v>245</v>
      </c>
      <c r="C86" s="185" t="s">
        <v>284</v>
      </c>
      <c r="D86" s="185" t="s">
        <v>284</v>
      </c>
      <c r="E86" s="185" t="s">
        <v>284</v>
      </c>
      <c r="F86" s="185" t="s">
        <v>288</v>
      </c>
      <c r="G86" s="185" t="s">
        <v>288</v>
      </c>
      <c r="H86" s="184">
        <v>1.1000000000000001</v>
      </c>
      <c r="I86" s="184">
        <v>1.5</v>
      </c>
      <c r="J86" s="185" t="s">
        <v>288</v>
      </c>
      <c r="K86" s="184">
        <v>0.1</v>
      </c>
      <c r="L86" s="185" t="s">
        <v>284</v>
      </c>
      <c r="M86" s="185" t="s">
        <v>284</v>
      </c>
    </row>
    <row r="87" spans="2:13">
      <c r="B87" s="8" t="s">
        <v>246</v>
      </c>
      <c r="C87" s="185" t="s">
        <v>284</v>
      </c>
      <c r="D87" s="185" t="s">
        <v>288</v>
      </c>
      <c r="E87" s="185" t="s">
        <v>284</v>
      </c>
      <c r="F87" s="185" t="s">
        <v>288</v>
      </c>
      <c r="G87" s="185" t="s">
        <v>284</v>
      </c>
      <c r="H87" s="184">
        <v>1.2</v>
      </c>
      <c r="I87" s="184">
        <v>1.6</v>
      </c>
      <c r="J87" s="185" t="s">
        <v>288</v>
      </c>
      <c r="K87" s="184">
        <v>0.1</v>
      </c>
      <c r="L87" s="185" t="s">
        <v>284</v>
      </c>
      <c r="M87" s="185" t="s">
        <v>284</v>
      </c>
    </row>
    <row r="88" spans="2:13">
      <c r="B88" s="8" t="s">
        <v>247</v>
      </c>
      <c r="C88" s="185" t="s">
        <v>284</v>
      </c>
      <c r="D88" s="185" t="s">
        <v>284</v>
      </c>
      <c r="E88" s="185" t="s">
        <v>284</v>
      </c>
      <c r="F88" s="185" t="s">
        <v>288</v>
      </c>
      <c r="G88" s="185" t="s">
        <v>288</v>
      </c>
      <c r="H88" s="184">
        <v>0.9</v>
      </c>
      <c r="I88" s="184">
        <v>1.2</v>
      </c>
      <c r="J88" s="185" t="s">
        <v>288</v>
      </c>
      <c r="K88" s="184">
        <v>0.1</v>
      </c>
      <c r="L88" s="185" t="s">
        <v>288</v>
      </c>
      <c r="M88" s="185" t="s">
        <v>284</v>
      </c>
    </row>
    <row r="89" spans="2:13">
      <c r="B89" s="8" t="s">
        <v>248</v>
      </c>
      <c r="C89" s="185" t="s">
        <v>284</v>
      </c>
      <c r="D89" s="185" t="s">
        <v>284</v>
      </c>
      <c r="E89" s="185" t="s">
        <v>284</v>
      </c>
      <c r="F89" s="185" t="s">
        <v>284</v>
      </c>
      <c r="G89" s="185" t="s">
        <v>284</v>
      </c>
      <c r="H89" s="184">
        <v>0.9</v>
      </c>
      <c r="I89" s="184">
        <v>1.1000000000000001</v>
      </c>
      <c r="J89" s="184">
        <v>0.1</v>
      </c>
      <c r="K89" s="184">
        <v>0.1</v>
      </c>
      <c r="L89" s="185" t="s">
        <v>284</v>
      </c>
      <c r="M89" s="185" t="s">
        <v>284</v>
      </c>
    </row>
    <row r="90" spans="2:13">
      <c r="B90" s="8" t="s">
        <v>249</v>
      </c>
      <c r="C90" s="185" t="s">
        <v>284</v>
      </c>
      <c r="D90" s="185" t="s">
        <v>288</v>
      </c>
      <c r="E90" s="185" t="s">
        <v>284</v>
      </c>
      <c r="F90" s="185" t="s">
        <v>284</v>
      </c>
      <c r="G90" s="185" t="s">
        <v>284</v>
      </c>
      <c r="H90" s="184">
        <v>0.7</v>
      </c>
      <c r="I90" s="184">
        <v>1.1000000000000001</v>
      </c>
      <c r="J90" s="184">
        <v>0.1</v>
      </c>
      <c r="K90" s="185" t="s">
        <v>288</v>
      </c>
      <c r="L90" s="185" t="s">
        <v>284</v>
      </c>
      <c r="M90" s="185" t="s">
        <v>284</v>
      </c>
    </row>
    <row r="91" spans="2:13">
      <c r="B91" s="8" t="s">
        <v>250</v>
      </c>
      <c r="C91" s="185" t="s">
        <v>284</v>
      </c>
      <c r="D91" s="185" t="s">
        <v>284</v>
      </c>
      <c r="E91" s="185" t="s">
        <v>284</v>
      </c>
      <c r="F91" s="185" t="s">
        <v>288</v>
      </c>
      <c r="G91" s="185" t="s">
        <v>288</v>
      </c>
      <c r="H91" s="184">
        <v>0.7</v>
      </c>
      <c r="I91" s="184">
        <v>0.9</v>
      </c>
      <c r="J91" s="185" t="s">
        <v>288</v>
      </c>
      <c r="K91" s="185" t="s">
        <v>288</v>
      </c>
      <c r="L91" s="185" t="s">
        <v>284</v>
      </c>
      <c r="M91" s="185" t="s">
        <v>284</v>
      </c>
    </row>
    <row r="92" spans="2:13">
      <c r="B92" s="8" t="s">
        <v>251</v>
      </c>
      <c r="C92" s="185" t="s">
        <v>284</v>
      </c>
      <c r="D92" s="185" t="s">
        <v>284</v>
      </c>
      <c r="E92" s="185" t="s">
        <v>284</v>
      </c>
      <c r="F92" s="185" t="s">
        <v>284</v>
      </c>
      <c r="G92" s="185" t="s">
        <v>284</v>
      </c>
      <c r="H92" s="184">
        <v>0.5</v>
      </c>
      <c r="I92" s="184">
        <v>0.7</v>
      </c>
      <c r="J92" s="185" t="s">
        <v>288</v>
      </c>
      <c r="K92" s="184">
        <v>0.1</v>
      </c>
      <c r="L92" s="185" t="s">
        <v>284</v>
      </c>
      <c r="M92" s="185" t="s">
        <v>284</v>
      </c>
    </row>
    <row r="93" spans="2:13">
      <c r="B93" s="36"/>
      <c r="C93" s="184"/>
      <c r="D93" s="184"/>
      <c r="E93" s="184"/>
      <c r="F93" s="184"/>
      <c r="G93" s="184"/>
      <c r="H93" s="25"/>
      <c r="I93" s="23"/>
      <c r="J93" s="25"/>
      <c r="K93" s="23"/>
      <c r="L93" s="25"/>
      <c r="M93" s="185"/>
    </row>
    <row r="94" spans="2:13">
      <c r="B94" s="8" t="s">
        <v>166</v>
      </c>
      <c r="C94" s="185" t="s">
        <v>284</v>
      </c>
      <c r="D94" s="185" t="s">
        <v>284</v>
      </c>
      <c r="E94" s="185" t="s">
        <v>284</v>
      </c>
      <c r="F94" s="185" t="s">
        <v>284</v>
      </c>
      <c r="G94" s="185" t="s">
        <v>284</v>
      </c>
      <c r="H94" s="184">
        <v>0.6</v>
      </c>
      <c r="I94" s="184">
        <v>0.7</v>
      </c>
      <c r="J94" s="26" t="s">
        <v>284</v>
      </c>
      <c r="K94" s="26" t="s">
        <v>288</v>
      </c>
      <c r="L94" s="26" t="s">
        <v>288</v>
      </c>
      <c r="M94" s="185" t="s">
        <v>284</v>
      </c>
    </row>
    <row r="95" spans="2:13">
      <c r="B95" s="8" t="s">
        <v>252</v>
      </c>
      <c r="C95" s="185" t="s">
        <v>284</v>
      </c>
      <c r="D95" s="185" t="s">
        <v>284</v>
      </c>
      <c r="E95" s="185" t="s">
        <v>288</v>
      </c>
      <c r="F95" s="185" t="s">
        <v>284</v>
      </c>
      <c r="G95" s="185" t="s">
        <v>284</v>
      </c>
      <c r="H95" s="184">
        <v>0.5</v>
      </c>
      <c r="I95" s="184">
        <v>0.6</v>
      </c>
      <c r="J95" s="26" t="s">
        <v>284</v>
      </c>
      <c r="K95" s="26" t="s">
        <v>288</v>
      </c>
      <c r="L95" s="26" t="s">
        <v>288</v>
      </c>
      <c r="M95" s="185" t="s">
        <v>284</v>
      </c>
    </row>
    <row r="96" spans="2:13">
      <c r="B96" s="8" t="s">
        <v>253</v>
      </c>
      <c r="C96" s="185" t="s">
        <v>284</v>
      </c>
      <c r="D96" s="185" t="s">
        <v>284</v>
      </c>
      <c r="E96" s="185" t="s">
        <v>284</v>
      </c>
      <c r="F96" s="185" t="s">
        <v>284</v>
      </c>
      <c r="G96" s="185" t="s">
        <v>288</v>
      </c>
      <c r="H96" s="184">
        <v>0.3</v>
      </c>
      <c r="I96" s="184">
        <v>0.5</v>
      </c>
      <c r="J96" s="26" t="s">
        <v>284</v>
      </c>
      <c r="K96" s="26" t="s">
        <v>284</v>
      </c>
      <c r="L96" s="26" t="s">
        <v>284</v>
      </c>
      <c r="M96" s="185" t="s">
        <v>284</v>
      </c>
    </row>
    <row r="97" spans="2:13">
      <c r="B97" s="8" t="s">
        <v>254</v>
      </c>
      <c r="C97" s="185" t="s">
        <v>284</v>
      </c>
      <c r="D97" s="185" t="s">
        <v>288</v>
      </c>
      <c r="E97" s="185" t="s">
        <v>284</v>
      </c>
      <c r="F97" s="185" t="s">
        <v>284</v>
      </c>
      <c r="G97" s="185" t="s">
        <v>288</v>
      </c>
      <c r="H97" s="184">
        <v>0.3</v>
      </c>
      <c r="I97" s="184">
        <v>0.4</v>
      </c>
      <c r="J97" s="26" t="s">
        <v>284</v>
      </c>
      <c r="K97" s="26" t="s">
        <v>288</v>
      </c>
      <c r="L97" s="26" t="s">
        <v>284</v>
      </c>
      <c r="M97" s="185" t="s">
        <v>284</v>
      </c>
    </row>
    <row r="98" spans="2:13">
      <c r="B98" s="8" t="s">
        <v>255</v>
      </c>
      <c r="C98" s="185" t="s">
        <v>284</v>
      </c>
      <c r="D98" s="185" t="s">
        <v>284</v>
      </c>
      <c r="E98" s="185" t="s">
        <v>284</v>
      </c>
      <c r="F98" s="185" t="s">
        <v>284</v>
      </c>
      <c r="G98" s="185" t="s">
        <v>284</v>
      </c>
      <c r="H98" s="184">
        <v>0.5</v>
      </c>
      <c r="I98" s="184">
        <v>0.6</v>
      </c>
      <c r="J98" s="26" t="s">
        <v>284</v>
      </c>
      <c r="K98" s="26" t="s">
        <v>288</v>
      </c>
      <c r="L98" s="26" t="s">
        <v>284</v>
      </c>
      <c r="M98" s="185" t="s">
        <v>284</v>
      </c>
    </row>
    <row r="99" spans="2:13">
      <c r="B99" s="8" t="s">
        <v>256</v>
      </c>
      <c r="C99" s="185" t="s">
        <v>284</v>
      </c>
      <c r="D99" s="185" t="s">
        <v>284</v>
      </c>
      <c r="E99" s="185" t="s">
        <v>284</v>
      </c>
      <c r="F99" s="185" t="s">
        <v>284</v>
      </c>
      <c r="G99" s="185" t="s">
        <v>284</v>
      </c>
      <c r="H99" s="184">
        <v>0.4</v>
      </c>
      <c r="I99" s="184">
        <v>0.5</v>
      </c>
      <c r="J99" s="26" t="s">
        <v>284</v>
      </c>
      <c r="K99" s="26" t="s">
        <v>288</v>
      </c>
      <c r="L99" s="26" t="s">
        <v>284</v>
      </c>
      <c r="M99" s="185" t="s">
        <v>284</v>
      </c>
    </row>
    <row r="100" spans="2:13">
      <c r="B100" s="8" t="s">
        <v>257</v>
      </c>
      <c r="C100" s="185" t="s">
        <v>284</v>
      </c>
      <c r="D100" s="185" t="s">
        <v>284</v>
      </c>
      <c r="E100" s="185" t="s">
        <v>284</v>
      </c>
      <c r="F100" s="185" t="s">
        <v>284</v>
      </c>
      <c r="G100" s="185" t="s">
        <v>284</v>
      </c>
      <c r="H100" s="184">
        <v>0.4</v>
      </c>
      <c r="I100" s="184">
        <v>0.5</v>
      </c>
      <c r="J100" s="26" t="s">
        <v>284</v>
      </c>
      <c r="K100" s="26" t="s">
        <v>288</v>
      </c>
      <c r="L100" s="26" t="s">
        <v>284</v>
      </c>
      <c r="M100" s="185" t="s">
        <v>284</v>
      </c>
    </row>
    <row r="101" spans="2:13">
      <c r="B101" s="8" t="s">
        <v>258</v>
      </c>
      <c r="C101" s="185" t="s">
        <v>284</v>
      </c>
      <c r="D101" s="185" t="s">
        <v>284</v>
      </c>
      <c r="E101" s="185" t="s">
        <v>284</v>
      </c>
      <c r="F101" s="185" t="s">
        <v>284</v>
      </c>
      <c r="G101" s="185" t="s">
        <v>284</v>
      </c>
      <c r="H101" s="184">
        <v>0.4</v>
      </c>
      <c r="I101" s="184">
        <v>0.5</v>
      </c>
      <c r="J101" s="26" t="s">
        <v>284</v>
      </c>
      <c r="K101" s="26" t="s">
        <v>288</v>
      </c>
      <c r="L101" s="26" t="s">
        <v>284</v>
      </c>
      <c r="M101" s="184">
        <v>1.7</v>
      </c>
    </row>
    <row r="102" spans="2:13">
      <c r="B102" s="8" t="s">
        <v>259</v>
      </c>
      <c r="C102" s="185" t="s">
        <v>284</v>
      </c>
      <c r="D102" s="185" t="s">
        <v>288</v>
      </c>
      <c r="E102" s="185" t="s">
        <v>284</v>
      </c>
      <c r="F102" s="185" t="s">
        <v>288</v>
      </c>
      <c r="G102" s="185" t="s">
        <v>284</v>
      </c>
      <c r="H102" s="184">
        <v>0.4</v>
      </c>
      <c r="I102" s="184">
        <v>0.5</v>
      </c>
      <c r="J102" s="26" t="s">
        <v>284</v>
      </c>
      <c r="K102" s="26" t="s">
        <v>288</v>
      </c>
      <c r="L102" s="26" t="s">
        <v>284</v>
      </c>
      <c r="M102" s="184">
        <v>2.2999999999999998</v>
      </c>
    </row>
    <row r="103" spans="2:13">
      <c r="B103" s="8" t="s">
        <v>260</v>
      </c>
      <c r="C103" s="185" t="s">
        <v>284</v>
      </c>
      <c r="D103" s="185" t="s">
        <v>284</v>
      </c>
      <c r="E103" s="185" t="s">
        <v>284</v>
      </c>
      <c r="F103" s="185" t="s">
        <v>284</v>
      </c>
      <c r="G103" s="185" t="s">
        <v>284</v>
      </c>
      <c r="H103" s="211">
        <v>0.3</v>
      </c>
      <c r="I103" s="211">
        <v>0.3</v>
      </c>
      <c r="J103" s="26" t="s">
        <v>284</v>
      </c>
      <c r="K103" s="26" t="s">
        <v>288</v>
      </c>
      <c r="L103" s="26" t="s">
        <v>284</v>
      </c>
      <c r="M103" s="211">
        <v>3.5</v>
      </c>
    </row>
    <row r="104" spans="2:13">
      <c r="B104" s="11"/>
      <c r="C104" s="47"/>
      <c r="D104" s="47"/>
      <c r="E104" s="47"/>
      <c r="F104" s="47"/>
      <c r="G104" s="47"/>
      <c r="H104" s="47"/>
      <c r="I104" s="47"/>
      <c r="J104" s="27"/>
      <c r="K104" s="27"/>
      <c r="L104" s="27"/>
      <c r="M104" s="47"/>
    </row>
    <row r="105" spans="2:13">
      <c r="B105" s="8" t="s">
        <v>167</v>
      </c>
      <c r="C105" s="185" t="s">
        <v>284</v>
      </c>
      <c r="D105" s="185" t="s">
        <v>288</v>
      </c>
      <c r="E105" s="185" t="s">
        <v>284</v>
      </c>
      <c r="F105" s="185" t="s">
        <v>284</v>
      </c>
      <c r="G105" s="185" t="s">
        <v>284</v>
      </c>
      <c r="H105" s="184">
        <v>0.3</v>
      </c>
      <c r="I105" s="184">
        <v>0.5</v>
      </c>
      <c r="J105" s="26" t="s">
        <v>284</v>
      </c>
      <c r="K105" s="26" t="s">
        <v>284</v>
      </c>
      <c r="L105" s="26" t="s">
        <v>284</v>
      </c>
      <c r="M105" s="184">
        <v>4</v>
      </c>
    </row>
    <row r="106" spans="2:13">
      <c r="B106" s="8" t="s">
        <v>168</v>
      </c>
      <c r="C106" s="185" t="s">
        <v>284</v>
      </c>
      <c r="D106" s="185" t="s">
        <v>284</v>
      </c>
      <c r="E106" s="185" t="s">
        <v>284</v>
      </c>
      <c r="F106" s="185" t="s">
        <v>284</v>
      </c>
      <c r="G106" s="185" t="s">
        <v>284</v>
      </c>
      <c r="H106" s="184">
        <v>0.3</v>
      </c>
      <c r="I106" s="184">
        <v>0.4</v>
      </c>
      <c r="J106" s="26" t="s">
        <v>284</v>
      </c>
      <c r="K106" s="26" t="s">
        <v>284</v>
      </c>
      <c r="L106" s="26" t="s">
        <v>284</v>
      </c>
      <c r="M106" s="184">
        <v>4.9000000000000004</v>
      </c>
    </row>
    <row r="107" spans="2:13">
      <c r="B107" s="8" t="s">
        <v>169</v>
      </c>
      <c r="C107" s="185" t="s">
        <v>284</v>
      </c>
      <c r="D107" s="185" t="s">
        <v>284</v>
      </c>
      <c r="E107" s="185" t="s">
        <v>284</v>
      </c>
      <c r="F107" s="185" t="s">
        <v>284</v>
      </c>
      <c r="G107" s="185" t="s">
        <v>284</v>
      </c>
      <c r="H107" s="184">
        <v>0.4</v>
      </c>
      <c r="I107" s="184">
        <v>0.5</v>
      </c>
      <c r="J107" s="26" t="s">
        <v>284</v>
      </c>
      <c r="K107" s="26" t="s">
        <v>288</v>
      </c>
      <c r="L107" s="26" t="s">
        <v>284</v>
      </c>
      <c r="M107" s="184">
        <v>6.1</v>
      </c>
    </row>
    <row r="108" spans="2:13">
      <c r="B108" s="8" t="s">
        <v>170</v>
      </c>
      <c r="C108" s="185" t="s">
        <v>284</v>
      </c>
      <c r="D108" s="185" t="s">
        <v>284</v>
      </c>
      <c r="E108" s="185" t="s">
        <v>284</v>
      </c>
      <c r="F108" s="185" t="s">
        <v>284</v>
      </c>
      <c r="G108" s="185" t="s">
        <v>284</v>
      </c>
      <c r="H108" s="184">
        <v>0.3</v>
      </c>
      <c r="I108" s="184">
        <v>0.4</v>
      </c>
      <c r="J108" s="26" t="s">
        <v>284</v>
      </c>
      <c r="K108" s="26" t="s">
        <v>288</v>
      </c>
      <c r="L108" s="26" t="s">
        <v>288</v>
      </c>
      <c r="M108" s="184">
        <v>7.3</v>
      </c>
    </row>
    <row r="109" spans="2:13">
      <c r="B109" s="8">
        <v>1994</v>
      </c>
      <c r="C109" s="185" t="s">
        <v>284</v>
      </c>
      <c r="D109" s="185" t="s">
        <v>284</v>
      </c>
      <c r="E109" s="185" t="s">
        <v>284</v>
      </c>
      <c r="F109" s="185" t="s">
        <v>284</v>
      </c>
      <c r="G109" s="185" t="s">
        <v>284</v>
      </c>
      <c r="H109" s="184">
        <v>0.3</v>
      </c>
      <c r="I109" s="184">
        <v>0.5</v>
      </c>
      <c r="J109" s="26" t="s">
        <v>284</v>
      </c>
      <c r="K109" s="26" t="s">
        <v>288</v>
      </c>
      <c r="L109" s="26" t="s">
        <v>284</v>
      </c>
      <c r="M109" s="184">
        <v>7.9</v>
      </c>
    </row>
    <row r="110" spans="2:13">
      <c r="B110" s="8">
        <v>1995</v>
      </c>
      <c r="C110" s="185" t="s">
        <v>284</v>
      </c>
      <c r="D110" s="185" t="s">
        <v>284</v>
      </c>
      <c r="E110" s="185" t="s">
        <v>284</v>
      </c>
      <c r="F110" s="185" t="s">
        <v>284</v>
      </c>
      <c r="G110" s="185" t="s">
        <v>284</v>
      </c>
      <c r="H110" s="184">
        <v>0.3</v>
      </c>
      <c r="I110" s="184">
        <v>0.4</v>
      </c>
      <c r="J110" s="26" t="s">
        <v>284</v>
      </c>
      <c r="K110" s="26" t="s">
        <v>288</v>
      </c>
      <c r="L110" s="26" t="s">
        <v>288</v>
      </c>
      <c r="M110" s="184">
        <v>8.1999999999999993</v>
      </c>
    </row>
    <row r="111" spans="2:13">
      <c r="B111" s="8">
        <v>1996</v>
      </c>
      <c r="C111" s="185" t="s">
        <v>284</v>
      </c>
      <c r="D111" s="185" t="s">
        <v>284</v>
      </c>
      <c r="E111" s="185" t="s">
        <v>284</v>
      </c>
      <c r="F111" s="185" t="s">
        <v>284</v>
      </c>
      <c r="G111" s="185" t="s">
        <v>284</v>
      </c>
      <c r="H111" s="184">
        <v>0.3</v>
      </c>
      <c r="I111" s="184">
        <v>0.3</v>
      </c>
      <c r="J111" s="26" t="s">
        <v>284</v>
      </c>
      <c r="K111" s="26" t="s">
        <v>288</v>
      </c>
      <c r="L111" s="26" t="s">
        <v>284</v>
      </c>
      <c r="M111" s="184">
        <v>5.2</v>
      </c>
    </row>
    <row r="112" spans="2:13">
      <c r="B112" s="8">
        <v>1997</v>
      </c>
      <c r="C112" s="185" t="s">
        <v>284</v>
      </c>
      <c r="D112" s="185" t="s">
        <v>284</v>
      </c>
      <c r="E112" s="185" t="s">
        <v>284</v>
      </c>
      <c r="F112" s="185" t="s">
        <v>284</v>
      </c>
      <c r="G112" s="185" t="s">
        <v>284</v>
      </c>
      <c r="H112" s="184">
        <v>0.2</v>
      </c>
      <c r="I112" s="184">
        <v>0.3</v>
      </c>
      <c r="J112" s="26" t="s">
        <v>284</v>
      </c>
      <c r="K112" s="26" t="s">
        <v>284</v>
      </c>
      <c r="L112" s="26" t="s">
        <v>288</v>
      </c>
      <c r="M112" s="184">
        <v>3.2</v>
      </c>
    </row>
    <row r="113" spans="2:13">
      <c r="B113" s="8">
        <v>1998</v>
      </c>
      <c r="C113" s="185" t="s">
        <v>284</v>
      </c>
      <c r="D113" s="185" t="s">
        <v>284</v>
      </c>
      <c r="E113" s="185" t="s">
        <v>284</v>
      </c>
      <c r="F113" s="185" t="s">
        <v>284</v>
      </c>
      <c r="G113" s="185" t="s">
        <v>284</v>
      </c>
      <c r="H113" s="184">
        <v>0.2</v>
      </c>
      <c r="I113" s="184">
        <v>0.3</v>
      </c>
      <c r="J113" s="26" t="s">
        <v>284</v>
      </c>
      <c r="K113" s="26" t="s">
        <v>288</v>
      </c>
      <c r="L113" s="26" t="s">
        <v>284</v>
      </c>
      <c r="M113" s="184">
        <v>2.7</v>
      </c>
    </row>
    <row r="114" spans="2:13">
      <c r="B114" s="8">
        <v>1999</v>
      </c>
      <c r="C114" s="185" t="s">
        <v>284</v>
      </c>
      <c r="D114" s="185" t="s">
        <v>284</v>
      </c>
      <c r="E114" s="185" t="s">
        <v>284</v>
      </c>
      <c r="F114" s="185" t="s">
        <v>284</v>
      </c>
      <c r="G114" s="185" t="s">
        <v>284</v>
      </c>
      <c r="H114" s="184">
        <v>0.2</v>
      </c>
      <c r="I114" s="184">
        <v>0.2</v>
      </c>
      <c r="J114" s="185" t="s">
        <v>288</v>
      </c>
      <c r="K114" s="26" t="s">
        <v>284</v>
      </c>
      <c r="L114" s="26" t="s">
        <v>284</v>
      </c>
      <c r="M114" s="184">
        <v>2.4</v>
      </c>
    </row>
    <row r="115" spans="2:13">
      <c r="B115" s="8"/>
      <c r="C115" s="185"/>
      <c r="D115" s="185"/>
      <c r="E115" s="185"/>
      <c r="F115" s="185"/>
      <c r="G115" s="185"/>
      <c r="H115" s="184"/>
      <c r="I115" s="184"/>
      <c r="J115" s="28"/>
      <c r="K115" s="26"/>
      <c r="L115" s="26"/>
      <c r="M115" s="184"/>
    </row>
    <row r="116" spans="2:13">
      <c r="B116" s="8">
        <v>2000</v>
      </c>
      <c r="C116" s="100" t="s">
        <v>284</v>
      </c>
      <c r="D116" s="100" t="s">
        <v>284</v>
      </c>
      <c r="E116" s="100" t="s">
        <v>284</v>
      </c>
      <c r="F116" s="100" t="s">
        <v>284</v>
      </c>
      <c r="G116" s="100" t="s">
        <v>284</v>
      </c>
      <c r="H116" s="184">
        <v>0.2</v>
      </c>
      <c r="I116" s="184">
        <v>0.3</v>
      </c>
      <c r="J116" s="26" t="s">
        <v>284</v>
      </c>
      <c r="K116" s="26" t="s">
        <v>288</v>
      </c>
      <c r="L116" s="26" t="s">
        <v>284</v>
      </c>
      <c r="M116" s="184">
        <v>2.5</v>
      </c>
    </row>
    <row r="117" spans="2:13">
      <c r="B117" s="8">
        <v>2001</v>
      </c>
      <c r="C117" s="100" t="s">
        <v>284</v>
      </c>
      <c r="D117" s="100" t="s">
        <v>284</v>
      </c>
      <c r="E117" s="100" t="s">
        <v>284</v>
      </c>
      <c r="F117" s="100" t="s">
        <v>284</v>
      </c>
      <c r="G117" s="100" t="s">
        <v>284</v>
      </c>
      <c r="H117" s="184">
        <v>0.3</v>
      </c>
      <c r="I117" s="184">
        <v>0.3</v>
      </c>
      <c r="J117" s="29" t="s">
        <v>284</v>
      </c>
      <c r="K117" s="29" t="s">
        <v>284</v>
      </c>
      <c r="L117" s="29" t="s">
        <v>284</v>
      </c>
      <c r="M117" s="184">
        <v>2.5</v>
      </c>
    </row>
    <row r="118" spans="2:13">
      <c r="B118" s="8">
        <v>2002</v>
      </c>
      <c r="C118" s="100" t="s">
        <v>284</v>
      </c>
      <c r="D118" s="100" t="s">
        <v>284</v>
      </c>
      <c r="E118" s="100" t="s">
        <v>284</v>
      </c>
      <c r="F118" s="185" t="s">
        <v>288</v>
      </c>
      <c r="G118" s="100" t="s">
        <v>284</v>
      </c>
      <c r="H118" s="184">
        <v>0.1</v>
      </c>
      <c r="I118" s="184">
        <v>0.2</v>
      </c>
      <c r="J118" s="29" t="s">
        <v>284</v>
      </c>
      <c r="K118" s="63" t="s">
        <v>288</v>
      </c>
      <c r="L118" s="29" t="s">
        <v>284</v>
      </c>
      <c r="M118" s="184">
        <v>2.4</v>
      </c>
    </row>
    <row r="119" spans="2:13">
      <c r="B119" s="8">
        <v>2003</v>
      </c>
      <c r="C119" s="100" t="s">
        <v>284</v>
      </c>
      <c r="D119" s="100" t="s">
        <v>284</v>
      </c>
      <c r="E119" s="100" t="s">
        <v>284</v>
      </c>
      <c r="F119" s="100" t="s">
        <v>284</v>
      </c>
      <c r="G119" s="100" t="s">
        <v>284</v>
      </c>
      <c r="H119" s="184">
        <v>0.2</v>
      </c>
      <c r="I119" s="184">
        <v>0.2</v>
      </c>
      <c r="J119" s="29" t="s">
        <v>284</v>
      </c>
      <c r="K119" s="29" t="s">
        <v>284</v>
      </c>
      <c r="L119" s="29" t="s">
        <v>284</v>
      </c>
      <c r="M119" s="184">
        <v>2.4</v>
      </c>
    </row>
    <row r="120" spans="2:13">
      <c r="B120" s="8">
        <v>2004</v>
      </c>
      <c r="C120" s="100" t="s">
        <v>284</v>
      </c>
      <c r="D120" s="100" t="s">
        <v>284</v>
      </c>
      <c r="E120" s="100" t="s">
        <v>284</v>
      </c>
      <c r="F120" s="100" t="s">
        <v>284</v>
      </c>
      <c r="G120" s="100" t="s">
        <v>284</v>
      </c>
      <c r="H120" s="184">
        <v>0.2</v>
      </c>
      <c r="I120" s="184">
        <v>0.2</v>
      </c>
      <c r="J120" s="29" t="s">
        <v>284</v>
      </c>
      <c r="K120" s="29" t="s">
        <v>284</v>
      </c>
      <c r="L120" s="29" t="s">
        <v>284</v>
      </c>
      <c r="M120" s="184">
        <v>2.1</v>
      </c>
    </row>
    <row r="121" spans="2:13">
      <c r="B121" s="8">
        <v>2005</v>
      </c>
      <c r="C121" s="100" t="s">
        <v>284</v>
      </c>
      <c r="D121" s="185" t="s">
        <v>288</v>
      </c>
      <c r="E121" s="100" t="s">
        <v>284</v>
      </c>
      <c r="F121" s="100" t="s">
        <v>284</v>
      </c>
      <c r="G121" s="100" t="s">
        <v>284</v>
      </c>
      <c r="H121" s="184">
        <v>0.1</v>
      </c>
      <c r="I121" s="184">
        <v>0.2</v>
      </c>
      <c r="J121" s="29" t="s">
        <v>284</v>
      </c>
      <c r="K121" s="63" t="s">
        <v>288</v>
      </c>
      <c r="L121" s="29" t="s">
        <v>284</v>
      </c>
      <c r="M121" s="184">
        <v>2.2000000000000002</v>
      </c>
    </row>
    <row r="122" spans="2:13">
      <c r="B122" s="8">
        <v>2006</v>
      </c>
      <c r="C122" s="100" t="s">
        <v>284</v>
      </c>
      <c r="D122" s="100">
        <v>0.1</v>
      </c>
      <c r="E122" s="100" t="s">
        <v>284</v>
      </c>
      <c r="F122" s="100" t="s">
        <v>284</v>
      </c>
      <c r="G122" s="100" t="s">
        <v>284</v>
      </c>
      <c r="H122" s="184">
        <v>0.1</v>
      </c>
      <c r="I122" s="184">
        <v>0.1</v>
      </c>
      <c r="J122" s="29" t="s">
        <v>284</v>
      </c>
      <c r="K122" s="29" t="s">
        <v>284</v>
      </c>
      <c r="L122" s="29" t="s">
        <v>284</v>
      </c>
      <c r="M122" s="184">
        <v>1.8</v>
      </c>
    </row>
    <row r="123" spans="2:13">
      <c r="B123" s="8">
        <v>2007</v>
      </c>
      <c r="C123" s="100" t="s">
        <v>284</v>
      </c>
      <c r="D123" s="100" t="s">
        <v>284</v>
      </c>
      <c r="E123" s="100" t="s">
        <v>284</v>
      </c>
      <c r="F123" s="100" t="s">
        <v>284</v>
      </c>
      <c r="G123" s="100" t="s">
        <v>284</v>
      </c>
      <c r="H123" s="184">
        <v>0.1</v>
      </c>
      <c r="I123" s="184">
        <v>0.1</v>
      </c>
      <c r="J123" s="29" t="s">
        <v>284</v>
      </c>
      <c r="K123" s="63" t="s">
        <v>288</v>
      </c>
      <c r="L123" s="29" t="s">
        <v>284</v>
      </c>
      <c r="M123" s="184">
        <v>1.8</v>
      </c>
    </row>
    <row r="124" spans="2:13">
      <c r="B124" s="8">
        <v>2008</v>
      </c>
      <c r="C124" s="100" t="s">
        <v>284</v>
      </c>
      <c r="D124" s="185" t="s">
        <v>284</v>
      </c>
      <c r="E124" s="100" t="s">
        <v>284</v>
      </c>
      <c r="F124" s="100" t="s">
        <v>284</v>
      </c>
      <c r="G124" s="100" t="s">
        <v>284</v>
      </c>
      <c r="H124" s="213">
        <v>0.1</v>
      </c>
      <c r="I124" s="213">
        <v>0.1</v>
      </c>
      <c r="J124" s="29" t="s">
        <v>284</v>
      </c>
      <c r="K124" s="63" t="s">
        <v>288</v>
      </c>
      <c r="L124" s="29" t="s">
        <v>284</v>
      </c>
      <c r="M124" s="184">
        <v>1.9</v>
      </c>
    </row>
    <row r="125" spans="2:13">
      <c r="B125" s="8">
        <v>2009</v>
      </c>
      <c r="C125" s="100" t="s">
        <v>284</v>
      </c>
      <c r="D125" s="185" t="s">
        <v>288</v>
      </c>
      <c r="E125" s="100" t="s">
        <v>284</v>
      </c>
      <c r="F125" s="100" t="s">
        <v>284</v>
      </c>
      <c r="G125" s="100" t="s">
        <v>284</v>
      </c>
      <c r="H125" s="213">
        <v>0.1</v>
      </c>
      <c r="I125" s="213">
        <v>0.1</v>
      </c>
      <c r="J125" s="29" t="s">
        <v>284</v>
      </c>
      <c r="K125" s="29" t="s">
        <v>284</v>
      </c>
      <c r="L125" s="63" t="s">
        <v>288</v>
      </c>
      <c r="M125" s="184">
        <v>1.4</v>
      </c>
    </row>
    <row r="126" spans="2:13">
      <c r="B126" s="8"/>
      <c r="C126" s="100"/>
      <c r="D126" s="100"/>
      <c r="E126" s="100"/>
      <c r="F126" s="100"/>
      <c r="G126" s="100"/>
      <c r="H126" s="213"/>
      <c r="I126" s="213"/>
      <c r="J126" s="29"/>
      <c r="K126" s="63"/>
      <c r="L126" s="29"/>
      <c r="M126" s="184"/>
    </row>
    <row r="127" spans="2:13">
      <c r="B127" s="8">
        <v>2010</v>
      </c>
      <c r="C127" s="100" t="s">
        <v>284</v>
      </c>
      <c r="D127" s="185" t="s">
        <v>284</v>
      </c>
      <c r="E127" s="100" t="s">
        <v>284</v>
      </c>
      <c r="F127" s="100" t="s">
        <v>284</v>
      </c>
      <c r="G127" s="100" t="s">
        <v>284</v>
      </c>
      <c r="H127" s="213">
        <v>0.2</v>
      </c>
      <c r="I127" s="213">
        <v>0.2</v>
      </c>
      <c r="J127" s="29" t="s">
        <v>284</v>
      </c>
      <c r="K127" s="29" t="s">
        <v>284</v>
      </c>
      <c r="L127" s="29" t="s">
        <v>284</v>
      </c>
      <c r="M127" s="184">
        <v>1.5</v>
      </c>
    </row>
    <row r="128" spans="2:13">
      <c r="B128" s="8">
        <v>2011</v>
      </c>
      <c r="C128" s="100" t="s">
        <v>284</v>
      </c>
      <c r="D128" s="185" t="s">
        <v>284</v>
      </c>
      <c r="E128" s="100" t="s">
        <v>284</v>
      </c>
      <c r="F128" s="100" t="s">
        <v>284</v>
      </c>
      <c r="G128" s="100" t="s">
        <v>284</v>
      </c>
      <c r="H128" s="185" t="s">
        <v>288</v>
      </c>
      <c r="I128" s="213">
        <v>0.1</v>
      </c>
      <c r="J128" s="29" t="s">
        <v>284</v>
      </c>
      <c r="K128" s="29" t="s">
        <v>284</v>
      </c>
      <c r="L128" s="29" t="s">
        <v>284</v>
      </c>
      <c r="M128" s="184">
        <v>1.2</v>
      </c>
    </row>
    <row r="129" spans="2:13">
      <c r="B129" s="8">
        <v>2012</v>
      </c>
      <c r="C129" s="100" t="s">
        <v>284</v>
      </c>
      <c r="D129" s="185" t="s">
        <v>284</v>
      </c>
      <c r="E129" s="100" t="s">
        <v>284</v>
      </c>
      <c r="F129" s="185" t="s">
        <v>288</v>
      </c>
      <c r="G129" s="100" t="s">
        <v>284</v>
      </c>
      <c r="H129" s="213">
        <v>0.1</v>
      </c>
      <c r="I129" s="213">
        <v>0.2</v>
      </c>
      <c r="J129" s="29" t="s">
        <v>284</v>
      </c>
      <c r="K129" s="63" t="s">
        <v>288</v>
      </c>
      <c r="L129" s="29" t="s">
        <v>284</v>
      </c>
      <c r="M129" s="184">
        <v>1.4</v>
      </c>
    </row>
    <row r="130" spans="2:13">
      <c r="B130" s="8">
        <v>2013</v>
      </c>
      <c r="C130" s="100" t="s">
        <v>284</v>
      </c>
      <c r="D130" s="100" t="s">
        <v>284</v>
      </c>
      <c r="E130" s="100" t="s">
        <v>284</v>
      </c>
      <c r="F130" s="100" t="s">
        <v>284</v>
      </c>
      <c r="G130" s="100" t="s">
        <v>284</v>
      </c>
      <c r="H130" s="213">
        <v>0.1</v>
      </c>
      <c r="I130" s="213">
        <v>0.1</v>
      </c>
      <c r="J130" s="29" t="s">
        <v>284</v>
      </c>
      <c r="K130" s="63" t="s">
        <v>288</v>
      </c>
      <c r="L130" s="29" t="s">
        <v>284</v>
      </c>
      <c r="M130" s="184">
        <v>1.3</v>
      </c>
    </row>
    <row r="131" spans="2:13">
      <c r="B131" s="6"/>
      <c r="C131" s="30"/>
      <c r="D131" s="30"/>
      <c r="E131" s="30"/>
      <c r="F131" s="30"/>
      <c r="G131" s="30"/>
      <c r="H131" s="30"/>
      <c r="I131" s="30"/>
      <c r="J131" s="30"/>
      <c r="K131" s="30"/>
      <c r="L131" s="30"/>
      <c r="M131" s="30"/>
    </row>
    <row r="132" spans="2:13">
      <c r="B132" s="16"/>
      <c r="C132" s="70"/>
      <c r="D132" s="70"/>
      <c r="E132" s="70"/>
      <c r="F132" s="70"/>
      <c r="G132" s="70"/>
      <c r="H132" s="70"/>
      <c r="I132" s="70"/>
      <c r="J132" s="70"/>
      <c r="K132" s="70"/>
      <c r="L132" s="70"/>
      <c r="M132" s="70"/>
    </row>
    <row r="133" spans="2:13" ht="78.75" customHeight="1">
      <c r="B133" s="294" t="s">
        <v>312</v>
      </c>
      <c r="C133" s="295"/>
      <c r="D133" s="295"/>
      <c r="E133" s="295"/>
      <c r="F133" s="295"/>
      <c r="G133" s="295"/>
      <c r="H133" s="295"/>
      <c r="I133" s="295"/>
      <c r="J133" s="295"/>
      <c r="K133" s="295"/>
      <c r="L133" s="295"/>
      <c r="M133" s="295"/>
    </row>
    <row r="134" spans="2:13" ht="14.25" customHeight="1">
      <c r="B134" s="296" t="s">
        <v>583</v>
      </c>
      <c r="C134" s="297"/>
      <c r="D134" s="297"/>
      <c r="E134" s="297"/>
      <c r="F134" s="297"/>
      <c r="G134" s="297"/>
      <c r="H134" s="297"/>
      <c r="I134" s="297"/>
      <c r="J134" s="297"/>
      <c r="K134" s="297"/>
      <c r="L134" s="297"/>
      <c r="M134" s="297"/>
    </row>
  </sheetData>
  <mergeCells count="2">
    <mergeCell ref="B133:M133"/>
    <mergeCell ref="B134:M134"/>
  </mergeCells>
  <phoneticPr fontId="0" type="noConversion"/>
  <printOptions horizontalCentered="1"/>
  <pageMargins left="0.25" right="0" top="0.25" bottom="0.25" header="0" footer="0"/>
  <pageSetup scale="78"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6"/>
  <sheetViews>
    <sheetView workbookViewId="0"/>
  </sheetViews>
  <sheetFormatPr defaultRowHeight="15"/>
  <cols>
    <col min="1" max="1" width="2.6640625" style="2" customWidth="1"/>
    <col min="2" max="2" width="10.1640625" style="2" customWidth="1"/>
    <col min="3" max="20" width="11.5" style="2" customWidth="1"/>
    <col min="21" max="16384" width="9.33203125" style="2"/>
  </cols>
  <sheetData>
    <row r="1" spans="1:20" ht="15.75">
      <c r="A1" s="1"/>
    </row>
    <row r="2" spans="1:20">
      <c r="B2" s="3" t="s">
        <v>290</v>
      </c>
      <c r="C2" s="4"/>
      <c r="D2" s="4"/>
      <c r="E2" s="4"/>
      <c r="F2" s="4"/>
      <c r="G2" s="4"/>
      <c r="H2" s="4"/>
      <c r="I2" s="4"/>
      <c r="J2" s="4"/>
      <c r="K2" s="4"/>
      <c r="L2" s="4"/>
      <c r="M2" s="4"/>
      <c r="N2" s="4"/>
      <c r="O2" s="4"/>
      <c r="P2" s="4"/>
      <c r="Q2" s="4"/>
      <c r="R2" s="4"/>
      <c r="S2" s="4"/>
      <c r="T2" s="4"/>
    </row>
    <row r="3" spans="1:20" ht="18.75">
      <c r="B3" s="5" t="s">
        <v>315</v>
      </c>
      <c r="C3" s="4"/>
      <c r="D3" s="4"/>
      <c r="E3" s="4"/>
      <c r="F3" s="4"/>
      <c r="G3" s="4"/>
      <c r="H3" s="4"/>
      <c r="I3" s="4"/>
      <c r="J3" s="4"/>
      <c r="K3" s="4"/>
      <c r="L3" s="4"/>
      <c r="M3" s="4"/>
      <c r="N3" s="4"/>
      <c r="O3" s="4"/>
      <c r="P3" s="4"/>
      <c r="Q3" s="4"/>
      <c r="R3" s="4"/>
      <c r="S3" s="4"/>
      <c r="T3" s="4"/>
    </row>
    <row r="4" spans="1:20">
      <c r="B4" s="3" t="s">
        <v>565</v>
      </c>
      <c r="C4" s="4"/>
      <c r="D4" s="4"/>
      <c r="E4" s="4"/>
      <c r="F4" s="4"/>
      <c r="G4" s="4"/>
      <c r="H4" s="4"/>
      <c r="I4" s="4"/>
      <c r="J4" s="4"/>
      <c r="K4" s="4"/>
      <c r="L4" s="4"/>
      <c r="M4" s="4"/>
      <c r="N4" s="4"/>
      <c r="O4" s="4"/>
      <c r="P4" s="4"/>
      <c r="Q4" s="4"/>
      <c r="R4" s="4"/>
      <c r="S4" s="4"/>
      <c r="T4" s="4"/>
    </row>
    <row r="5" spans="1:20" ht="45.75" customHeight="1">
      <c r="B5" s="302" t="s">
        <v>157</v>
      </c>
      <c r="C5" s="304" t="s">
        <v>303</v>
      </c>
      <c r="D5" s="305"/>
      <c r="E5" s="304" t="s">
        <v>304</v>
      </c>
      <c r="F5" s="305"/>
      <c r="G5" s="304" t="s">
        <v>293</v>
      </c>
      <c r="H5" s="305"/>
      <c r="I5" s="306" t="s">
        <v>631</v>
      </c>
      <c r="J5" s="307"/>
      <c r="K5" s="306" t="s">
        <v>305</v>
      </c>
      <c r="L5" s="307"/>
      <c r="M5" s="308" t="s">
        <v>321</v>
      </c>
      <c r="N5" s="309"/>
      <c r="O5" s="310" t="s">
        <v>306</v>
      </c>
      <c r="P5" s="311"/>
      <c r="Q5" s="306" t="s">
        <v>307</v>
      </c>
      <c r="R5" s="307"/>
      <c r="S5" s="308" t="s">
        <v>291</v>
      </c>
      <c r="T5" s="309"/>
    </row>
    <row r="6" spans="1:20">
      <c r="B6" s="303"/>
      <c r="C6" s="7" t="s">
        <v>289</v>
      </c>
      <c r="D6" s="20" t="s">
        <v>277</v>
      </c>
      <c r="E6" s="20" t="s">
        <v>289</v>
      </c>
      <c r="F6" s="20" t="s">
        <v>277</v>
      </c>
      <c r="G6" s="20" t="s">
        <v>289</v>
      </c>
      <c r="H6" s="20" t="s">
        <v>277</v>
      </c>
      <c r="I6" s="20" t="s">
        <v>289</v>
      </c>
      <c r="J6" s="20" t="s">
        <v>277</v>
      </c>
      <c r="K6" s="20" t="s">
        <v>289</v>
      </c>
      <c r="L6" s="20" t="s">
        <v>277</v>
      </c>
      <c r="M6" s="20" t="s">
        <v>289</v>
      </c>
      <c r="N6" s="20" t="s">
        <v>277</v>
      </c>
      <c r="O6" s="20" t="s">
        <v>289</v>
      </c>
      <c r="P6" s="20" t="s">
        <v>277</v>
      </c>
      <c r="Q6" s="20" t="s">
        <v>289</v>
      </c>
      <c r="R6" s="20" t="s">
        <v>277</v>
      </c>
      <c r="S6" s="20" t="s">
        <v>289</v>
      </c>
      <c r="T6" s="20" t="s">
        <v>277</v>
      </c>
    </row>
    <row r="7" spans="1:20">
      <c r="B7" s="8" t="s">
        <v>158</v>
      </c>
      <c r="C7" s="22">
        <v>2836</v>
      </c>
      <c r="D7" s="23">
        <v>117.1</v>
      </c>
      <c r="E7" s="22">
        <v>1460</v>
      </c>
      <c r="F7" s="23">
        <v>60.3</v>
      </c>
      <c r="G7" s="22">
        <v>2136</v>
      </c>
      <c r="H7" s="23">
        <v>88.2</v>
      </c>
      <c r="I7" s="22">
        <v>1740</v>
      </c>
      <c r="J7" s="23">
        <v>71.900000000000006</v>
      </c>
      <c r="K7" s="24"/>
      <c r="L7" s="25"/>
      <c r="M7" s="22">
        <v>224</v>
      </c>
      <c r="N7" s="23">
        <v>9.3000000000000007</v>
      </c>
      <c r="O7" s="22">
        <v>2388</v>
      </c>
      <c r="P7" s="23">
        <v>98.6</v>
      </c>
      <c r="Q7" s="24"/>
      <c r="R7" s="23"/>
      <c r="S7" s="24"/>
      <c r="T7" s="23"/>
    </row>
    <row r="8" spans="1:20">
      <c r="B8" s="8" t="s">
        <v>180</v>
      </c>
      <c r="C8" s="22">
        <v>3040</v>
      </c>
      <c r="D8" s="23">
        <v>123.6</v>
      </c>
      <c r="E8" s="22">
        <v>1484</v>
      </c>
      <c r="F8" s="23">
        <v>60.3</v>
      </c>
      <c r="G8" s="22">
        <v>2147</v>
      </c>
      <c r="H8" s="23">
        <v>87.3</v>
      </c>
      <c r="I8" s="22">
        <v>1901</v>
      </c>
      <c r="J8" s="23">
        <v>77.3</v>
      </c>
      <c r="K8" s="24"/>
      <c r="L8" s="25"/>
      <c r="M8" s="22">
        <v>264</v>
      </c>
      <c r="N8" s="23">
        <v>10.7</v>
      </c>
      <c r="O8" s="22">
        <v>2901</v>
      </c>
      <c r="P8" s="23">
        <v>117.9</v>
      </c>
      <c r="Q8" s="24"/>
      <c r="R8" s="23"/>
      <c r="S8" s="24"/>
      <c r="T8" s="23"/>
    </row>
    <row r="9" spans="1:20">
      <c r="B9" s="8" t="s">
        <v>181</v>
      </c>
      <c r="C9" s="22">
        <v>3302</v>
      </c>
      <c r="D9" s="23">
        <v>132.1</v>
      </c>
      <c r="E9" s="22">
        <v>1483</v>
      </c>
      <c r="F9" s="23">
        <v>59.3</v>
      </c>
      <c r="G9" s="22">
        <v>2097</v>
      </c>
      <c r="H9" s="23">
        <v>83.9</v>
      </c>
      <c r="I9" s="22">
        <v>1796</v>
      </c>
      <c r="J9" s="23">
        <v>71.900000000000006</v>
      </c>
      <c r="K9" s="24"/>
      <c r="L9" s="25"/>
      <c r="M9" s="22">
        <v>289</v>
      </c>
      <c r="N9" s="23">
        <v>11.6</v>
      </c>
      <c r="O9" s="22">
        <v>2637</v>
      </c>
      <c r="P9" s="23">
        <v>105.5</v>
      </c>
      <c r="Q9" s="24"/>
      <c r="R9" s="23"/>
      <c r="S9" s="24"/>
      <c r="T9" s="23"/>
    </row>
    <row r="10" spans="1:20">
      <c r="B10" s="8" t="s">
        <v>182</v>
      </c>
      <c r="C10" s="22">
        <v>3702</v>
      </c>
      <c r="D10" s="23">
        <v>145.9</v>
      </c>
      <c r="E10" s="22">
        <v>1694</v>
      </c>
      <c r="F10" s="23">
        <v>66.8</v>
      </c>
      <c r="G10" s="22">
        <v>2321</v>
      </c>
      <c r="H10" s="23">
        <v>91.5</v>
      </c>
      <c r="I10" s="22">
        <v>2017</v>
      </c>
      <c r="J10" s="23">
        <v>79.5</v>
      </c>
      <c r="K10" s="24"/>
      <c r="L10" s="25"/>
      <c r="M10" s="22">
        <v>265</v>
      </c>
      <c r="N10" s="23">
        <v>10.4</v>
      </c>
      <c r="O10" s="22">
        <v>2607</v>
      </c>
      <c r="P10" s="23">
        <v>102.7</v>
      </c>
      <c r="Q10" s="24"/>
      <c r="R10" s="23"/>
      <c r="S10" s="24"/>
      <c r="T10" s="23"/>
    </row>
    <row r="11" spans="1:20">
      <c r="B11" s="8" t="s">
        <v>183</v>
      </c>
      <c r="C11" s="22">
        <v>3981</v>
      </c>
      <c r="D11" s="23">
        <v>154.5</v>
      </c>
      <c r="E11" s="22">
        <v>1728</v>
      </c>
      <c r="F11" s="23">
        <v>67.099999999999994</v>
      </c>
      <c r="G11" s="22">
        <v>2431</v>
      </c>
      <c r="H11" s="23">
        <v>94.3</v>
      </c>
      <c r="I11" s="22">
        <v>2035</v>
      </c>
      <c r="J11" s="23">
        <v>79</v>
      </c>
      <c r="K11" s="24"/>
      <c r="L11" s="25"/>
      <c r="M11" s="22">
        <v>298</v>
      </c>
      <c r="N11" s="23">
        <v>11.6</v>
      </c>
      <c r="O11" s="22">
        <v>2646</v>
      </c>
      <c r="P11" s="23">
        <v>102.7</v>
      </c>
      <c r="Q11" s="24"/>
      <c r="R11" s="23"/>
      <c r="S11" s="24"/>
      <c r="T11" s="23"/>
    </row>
    <row r="12" spans="1:20">
      <c r="B12" s="8" t="s">
        <v>184</v>
      </c>
      <c r="C12" s="22">
        <v>3715</v>
      </c>
      <c r="D12" s="23">
        <v>142</v>
      </c>
      <c r="E12" s="22">
        <v>1693</v>
      </c>
      <c r="F12" s="23">
        <v>64.7</v>
      </c>
      <c r="G12" s="22">
        <v>2405</v>
      </c>
      <c r="H12" s="23">
        <v>91.9</v>
      </c>
      <c r="I12" s="22">
        <v>2034</v>
      </c>
      <c r="J12" s="23">
        <v>77.8</v>
      </c>
      <c r="K12" s="24"/>
      <c r="L12" s="25"/>
      <c r="M12" s="22">
        <v>267</v>
      </c>
      <c r="N12" s="23">
        <v>10.199999999999999</v>
      </c>
      <c r="O12" s="22">
        <v>2417</v>
      </c>
      <c r="P12" s="23">
        <v>92.4</v>
      </c>
      <c r="Q12" s="24"/>
      <c r="R12" s="23"/>
      <c r="S12" s="24"/>
      <c r="T12" s="23"/>
    </row>
    <row r="13" spans="1:20">
      <c r="B13" s="8" t="s">
        <v>185</v>
      </c>
      <c r="C13" s="22">
        <v>3933</v>
      </c>
      <c r="D13" s="23">
        <v>148.19999999999999</v>
      </c>
      <c r="E13" s="22">
        <v>1736</v>
      </c>
      <c r="F13" s="23">
        <v>65.400000000000006</v>
      </c>
      <c r="G13" s="22">
        <v>2554</v>
      </c>
      <c r="H13" s="23">
        <v>96.2</v>
      </c>
      <c r="I13" s="22">
        <v>2126</v>
      </c>
      <c r="J13" s="23">
        <v>80.099999999999994</v>
      </c>
      <c r="K13" s="24"/>
      <c r="L13" s="25"/>
      <c r="M13" s="22">
        <v>311</v>
      </c>
      <c r="N13" s="23">
        <v>11.7</v>
      </c>
      <c r="O13" s="22">
        <v>2621</v>
      </c>
      <c r="P13" s="23">
        <v>98.7</v>
      </c>
      <c r="Q13" s="24"/>
      <c r="R13" s="23"/>
      <c r="S13" s="24"/>
      <c r="T13" s="23"/>
    </row>
    <row r="14" spans="1:20">
      <c r="B14" s="8" t="s">
        <v>186</v>
      </c>
      <c r="C14" s="22">
        <v>4269</v>
      </c>
      <c r="D14" s="23">
        <v>158.5</v>
      </c>
      <c r="E14" s="22">
        <v>1747</v>
      </c>
      <c r="F14" s="23">
        <v>64.900000000000006</v>
      </c>
      <c r="G14" s="22">
        <v>2690</v>
      </c>
      <c r="H14" s="23">
        <v>99.9</v>
      </c>
      <c r="I14" s="22">
        <v>2209</v>
      </c>
      <c r="J14" s="23">
        <v>82</v>
      </c>
      <c r="K14" s="24"/>
      <c r="L14" s="25"/>
      <c r="M14" s="22">
        <v>352</v>
      </c>
      <c r="N14" s="23">
        <v>13.1</v>
      </c>
      <c r="O14" s="22">
        <v>3018</v>
      </c>
      <c r="P14" s="23">
        <v>112</v>
      </c>
      <c r="Q14" s="24"/>
      <c r="R14" s="23"/>
      <c r="S14" s="24"/>
      <c r="T14" s="23"/>
    </row>
    <row r="15" spans="1:20">
      <c r="B15" s="8" t="s">
        <v>187</v>
      </c>
      <c r="C15" s="22">
        <v>4202</v>
      </c>
      <c r="D15" s="23">
        <v>153.80000000000001</v>
      </c>
      <c r="E15" s="22">
        <v>1921</v>
      </c>
      <c r="F15" s="23">
        <v>70.3</v>
      </c>
      <c r="G15" s="22">
        <v>2630</v>
      </c>
      <c r="H15" s="23">
        <v>96.3</v>
      </c>
      <c r="I15" s="22">
        <v>2036</v>
      </c>
      <c r="J15" s="23">
        <v>74.5</v>
      </c>
      <c r="K15" s="24"/>
      <c r="L15" s="25"/>
      <c r="M15" s="22">
        <v>359</v>
      </c>
      <c r="N15" s="23">
        <v>13.1</v>
      </c>
      <c r="O15" s="22">
        <v>2313</v>
      </c>
      <c r="P15" s="23">
        <v>84.7</v>
      </c>
      <c r="Q15" s="24"/>
      <c r="R15" s="23"/>
      <c r="S15" s="24"/>
      <c r="T15" s="23"/>
    </row>
    <row r="16" spans="1:20">
      <c r="B16" s="8" t="s">
        <v>188</v>
      </c>
      <c r="C16" s="22">
        <v>4354</v>
      </c>
      <c r="D16" s="23">
        <v>157.1</v>
      </c>
      <c r="E16" s="22">
        <v>1948</v>
      </c>
      <c r="F16" s="23">
        <v>70.3</v>
      </c>
      <c r="G16" s="22">
        <v>2739</v>
      </c>
      <c r="H16" s="23">
        <v>98.8</v>
      </c>
      <c r="I16" s="22">
        <v>1903</v>
      </c>
      <c r="J16" s="23">
        <v>68.7</v>
      </c>
      <c r="K16" s="24"/>
      <c r="L16" s="25"/>
      <c r="M16" s="22">
        <v>374</v>
      </c>
      <c r="N16" s="23">
        <v>13.5</v>
      </c>
      <c r="O16" s="22">
        <v>2265</v>
      </c>
      <c r="P16" s="23">
        <v>81.7</v>
      </c>
      <c r="Q16" s="24"/>
      <c r="R16" s="23"/>
      <c r="S16" s="24"/>
      <c r="T16" s="23"/>
    </row>
    <row r="17" spans="2:20">
      <c r="B17" s="11"/>
      <c r="C17" s="22"/>
      <c r="D17" s="23"/>
      <c r="E17" s="22"/>
      <c r="F17" s="23"/>
      <c r="G17" s="22"/>
      <c r="H17" s="23"/>
      <c r="I17" s="22"/>
      <c r="J17" s="23"/>
      <c r="K17" s="24"/>
      <c r="L17" s="25"/>
      <c r="M17" s="24"/>
      <c r="N17" s="23"/>
      <c r="O17" s="22"/>
      <c r="P17" s="23"/>
      <c r="Q17" s="24"/>
      <c r="R17" s="23"/>
      <c r="S17" s="24"/>
      <c r="T17" s="23"/>
    </row>
    <row r="18" spans="2:20">
      <c r="B18" s="8" t="s">
        <v>159</v>
      </c>
      <c r="C18" s="22">
        <v>4581</v>
      </c>
      <c r="D18" s="23">
        <v>163</v>
      </c>
      <c r="E18" s="22">
        <v>2105</v>
      </c>
      <c r="F18" s="23">
        <v>74.900000000000006</v>
      </c>
      <c r="G18" s="22">
        <v>3091</v>
      </c>
      <c r="H18" s="23">
        <v>110</v>
      </c>
      <c r="I18" s="22">
        <v>2158</v>
      </c>
      <c r="J18" s="23">
        <v>76.8</v>
      </c>
      <c r="K18" s="22">
        <v>49</v>
      </c>
      <c r="L18" s="23">
        <v>1.7</v>
      </c>
      <c r="M18" s="22">
        <v>398</v>
      </c>
      <c r="N18" s="23">
        <v>14.2</v>
      </c>
      <c r="O18" s="22">
        <v>2785</v>
      </c>
      <c r="P18" s="23">
        <v>99.1</v>
      </c>
      <c r="Q18" s="22">
        <v>282</v>
      </c>
      <c r="R18" s="23">
        <v>10</v>
      </c>
      <c r="S18" s="24"/>
      <c r="T18" s="23"/>
    </row>
    <row r="19" spans="2:20">
      <c r="B19" s="8" t="s">
        <v>189</v>
      </c>
      <c r="C19" s="22">
        <v>4639</v>
      </c>
      <c r="D19" s="23">
        <v>160.19999999999999</v>
      </c>
      <c r="E19" s="22">
        <v>2142</v>
      </c>
      <c r="F19" s="23">
        <v>74</v>
      </c>
      <c r="G19" s="22">
        <v>2916</v>
      </c>
      <c r="H19" s="23">
        <v>100.7</v>
      </c>
      <c r="I19" s="22">
        <v>2121</v>
      </c>
      <c r="J19" s="23">
        <v>73.2</v>
      </c>
      <c r="K19" s="22">
        <v>44</v>
      </c>
      <c r="L19" s="23">
        <v>1.5</v>
      </c>
      <c r="M19" s="22">
        <v>373</v>
      </c>
      <c r="N19" s="23">
        <v>12.9</v>
      </c>
      <c r="O19" s="22">
        <v>2763</v>
      </c>
      <c r="P19" s="23">
        <v>95.4</v>
      </c>
      <c r="Q19" s="24"/>
      <c r="R19" s="23"/>
      <c r="S19" s="24"/>
      <c r="T19" s="23"/>
    </row>
    <row r="20" spans="2:20">
      <c r="B20" s="8" t="s">
        <v>190</v>
      </c>
      <c r="C20" s="22">
        <v>5324</v>
      </c>
      <c r="D20" s="23">
        <v>178.5</v>
      </c>
      <c r="E20" s="22">
        <v>2291</v>
      </c>
      <c r="F20" s="23">
        <v>76.8</v>
      </c>
      <c r="G20" s="22">
        <v>2707</v>
      </c>
      <c r="H20" s="23">
        <v>90.8</v>
      </c>
      <c r="I20" s="22">
        <v>2005</v>
      </c>
      <c r="J20" s="23">
        <v>67.2</v>
      </c>
      <c r="K20" s="22">
        <v>75</v>
      </c>
      <c r="L20" s="23">
        <v>2.5</v>
      </c>
      <c r="M20" s="22">
        <v>448</v>
      </c>
      <c r="N20" s="23">
        <v>15</v>
      </c>
      <c r="O20" s="22">
        <v>2796</v>
      </c>
      <c r="P20" s="23">
        <v>93.8</v>
      </c>
      <c r="Q20" s="24"/>
      <c r="R20" s="23"/>
      <c r="S20" s="24"/>
      <c r="T20" s="23"/>
    </row>
    <row r="21" spans="2:20">
      <c r="B21" s="8" t="s">
        <v>191</v>
      </c>
      <c r="C21" s="22">
        <v>4908</v>
      </c>
      <c r="D21" s="23">
        <v>160</v>
      </c>
      <c r="E21" s="22">
        <v>2388</v>
      </c>
      <c r="F21" s="23">
        <v>77.8</v>
      </c>
      <c r="G21" s="22">
        <v>2834</v>
      </c>
      <c r="H21" s="23">
        <v>92.4</v>
      </c>
      <c r="I21" s="22">
        <v>2333</v>
      </c>
      <c r="J21" s="23">
        <v>76.099999999999994</v>
      </c>
      <c r="K21" s="22">
        <v>132</v>
      </c>
      <c r="L21" s="23">
        <v>4.3</v>
      </c>
      <c r="M21" s="22">
        <v>483</v>
      </c>
      <c r="N21" s="23">
        <v>15.7</v>
      </c>
      <c r="O21" s="22">
        <v>3082</v>
      </c>
      <c r="P21" s="23">
        <v>100.5</v>
      </c>
      <c r="Q21" s="24"/>
      <c r="R21" s="23"/>
      <c r="S21" s="24"/>
      <c r="T21" s="23"/>
    </row>
    <row r="22" spans="2:20">
      <c r="B22" s="8" t="s">
        <v>192</v>
      </c>
      <c r="C22" s="22">
        <v>5124</v>
      </c>
      <c r="D22" s="23">
        <v>162.5</v>
      </c>
      <c r="E22" s="22">
        <v>2414</v>
      </c>
      <c r="F22" s="23">
        <v>76.599999999999994</v>
      </c>
      <c r="G22" s="22">
        <v>2993</v>
      </c>
      <c r="H22" s="23">
        <v>94.9</v>
      </c>
      <c r="I22" s="22">
        <v>2108</v>
      </c>
      <c r="J22" s="23">
        <v>66.8</v>
      </c>
      <c r="K22" s="22">
        <v>120</v>
      </c>
      <c r="L22" s="23">
        <v>3.8</v>
      </c>
      <c r="M22" s="22">
        <v>503</v>
      </c>
      <c r="N22" s="23">
        <v>16</v>
      </c>
      <c r="O22" s="22">
        <v>2909</v>
      </c>
      <c r="P22" s="23">
        <v>92.2</v>
      </c>
      <c r="Q22" s="24"/>
      <c r="R22" s="23"/>
      <c r="S22" s="24"/>
      <c r="T22" s="23"/>
    </row>
    <row r="23" spans="2:20">
      <c r="B23" s="8" t="s">
        <v>193</v>
      </c>
      <c r="C23" s="22">
        <v>5538</v>
      </c>
      <c r="D23" s="23">
        <v>171</v>
      </c>
      <c r="E23" s="22">
        <v>2567</v>
      </c>
      <c r="F23" s="23">
        <v>79.2</v>
      </c>
      <c r="G23" s="22">
        <v>3384</v>
      </c>
      <c r="H23" s="23">
        <v>104.5</v>
      </c>
      <c r="I23" s="22">
        <v>2219</v>
      </c>
      <c r="J23" s="23">
        <v>68.5</v>
      </c>
      <c r="K23" s="22">
        <v>190</v>
      </c>
      <c r="L23" s="23">
        <v>5.9</v>
      </c>
      <c r="M23" s="22">
        <v>498</v>
      </c>
      <c r="N23" s="23">
        <v>15.4</v>
      </c>
      <c r="O23" s="22">
        <v>3229</v>
      </c>
      <c r="P23" s="23">
        <v>99.7</v>
      </c>
      <c r="Q23" s="24"/>
      <c r="R23" s="23"/>
      <c r="S23" s="24"/>
      <c r="T23" s="23"/>
    </row>
    <row r="24" spans="2:20">
      <c r="B24" s="8" t="s">
        <v>194</v>
      </c>
      <c r="C24" s="22">
        <v>5819</v>
      </c>
      <c r="D24" s="23">
        <v>175</v>
      </c>
      <c r="E24" s="22">
        <v>2710</v>
      </c>
      <c r="F24" s="23">
        <v>81.5</v>
      </c>
      <c r="G24" s="22">
        <v>3559</v>
      </c>
      <c r="H24" s="23">
        <v>107</v>
      </c>
      <c r="I24" s="22">
        <v>2853</v>
      </c>
      <c r="J24" s="23">
        <v>85.8</v>
      </c>
      <c r="K24" s="22">
        <v>257</v>
      </c>
      <c r="L24" s="23">
        <v>7.7</v>
      </c>
      <c r="M24" s="22">
        <v>500</v>
      </c>
      <c r="N24" s="23">
        <v>15</v>
      </c>
      <c r="O24" s="22">
        <v>3698</v>
      </c>
      <c r="P24" s="23">
        <v>111.2</v>
      </c>
      <c r="Q24" s="24"/>
      <c r="R24" s="23"/>
      <c r="S24" s="24"/>
      <c r="T24" s="23"/>
    </row>
    <row r="25" spans="2:20">
      <c r="B25" s="8" t="s">
        <v>195</v>
      </c>
      <c r="C25" s="22">
        <v>6103</v>
      </c>
      <c r="D25" s="23">
        <v>178.9</v>
      </c>
      <c r="E25" s="22">
        <v>2765</v>
      </c>
      <c r="F25" s="23">
        <v>81.099999999999994</v>
      </c>
      <c r="G25" s="22">
        <v>3703</v>
      </c>
      <c r="H25" s="23">
        <v>108.6</v>
      </c>
      <c r="I25" s="22">
        <v>2925</v>
      </c>
      <c r="J25" s="23">
        <v>85.8</v>
      </c>
      <c r="K25" s="22">
        <v>335</v>
      </c>
      <c r="L25" s="23">
        <v>9.8000000000000007</v>
      </c>
      <c r="M25" s="22">
        <v>569</v>
      </c>
      <c r="N25" s="23">
        <v>16.7</v>
      </c>
      <c r="O25" s="22">
        <v>4455</v>
      </c>
      <c r="P25" s="23">
        <v>130.6</v>
      </c>
      <c r="Q25" s="24"/>
      <c r="R25" s="23"/>
      <c r="S25" s="24"/>
      <c r="T25" s="23"/>
    </row>
    <row r="26" spans="2:20">
      <c r="B26" s="8" t="s">
        <v>196</v>
      </c>
      <c r="C26" s="22">
        <v>6091</v>
      </c>
      <c r="D26" s="23">
        <v>174.2</v>
      </c>
      <c r="E26" s="22">
        <v>2931</v>
      </c>
      <c r="F26" s="23">
        <v>83.8</v>
      </c>
      <c r="G26" s="22">
        <v>3493</v>
      </c>
      <c r="H26" s="23">
        <v>99.9</v>
      </c>
      <c r="I26" s="22">
        <v>2599</v>
      </c>
      <c r="J26" s="23">
        <v>74.3</v>
      </c>
      <c r="K26" s="22">
        <v>279</v>
      </c>
      <c r="L26" s="23">
        <v>8</v>
      </c>
      <c r="M26" s="22">
        <v>591</v>
      </c>
      <c r="N26" s="23">
        <v>16.899999999999999</v>
      </c>
      <c r="O26" s="22">
        <v>7238</v>
      </c>
      <c r="P26" s="23">
        <v>207</v>
      </c>
      <c r="Q26" s="24"/>
      <c r="R26" s="23"/>
      <c r="S26" s="24"/>
      <c r="T26" s="23"/>
    </row>
    <row r="27" spans="2:20">
      <c r="B27" s="8" t="s">
        <v>197</v>
      </c>
      <c r="C27" s="22">
        <v>5651</v>
      </c>
      <c r="D27" s="23">
        <v>157.69999999999999</v>
      </c>
      <c r="E27" s="22">
        <v>2990</v>
      </c>
      <c r="F27" s="23">
        <v>83.5</v>
      </c>
      <c r="G27" s="22">
        <v>3483</v>
      </c>
      <c r="H27" s="23">
        <v>97.2</v>
      </c>
      <c r="I27" s="22">
        <v>2612</v>
      </c>
      <c r="J27" s="23">
        <v>72.900000000000006</v>
      </c>
      <c r="K27" s="22">
        <v>328</v>
      </c>
      <c r="L27" s="23">
        <v>9.1999999999999993</v>
      </c>
      <c r="M27" s="22">
        <v>559</v>
      </c>
      <c r="N27" s="23">
        <v>15.6</v>
      </c>
      <c r="O27" s="22">
        <v>4081</v>
      </c>
      <c r="P27" s="23">
        <v>113.9</v>
      </c>
      <c r="Q27" s="24"/>
      <c r="R27" s="23"/>
      <c r="S27" s="24"/>
      <c r="T27" s="23"/>
    </row>
    <row r="28" spans="2:20">
      <c r="B28" s="11"/>
      <c r="C28" s="22"/>
      <c r="D28" s="23"/>
      <c r="E28" s="22"/>
      <c r="F28" s="23"/>
      <c r="G28" s="22"/>
      <c r="H28" s="23"/>
      <c r="I28" s="22"/>
      <c r="J28" s="23"/>
      <c r="K28" s="24"/>
      <c r="L28" s="23"/>
      <c r="M28" s="24"/>
      <c r="N28" s="25"/>
      <c r="O28" s="22"/>
      <c r="P28" s="23"/>
      <c r="Q28" s="24"/>
      <c r="R28" s="23"/>
      <c r="S28" s="24"/>
      <c r="T28" s="25"/>
    </row>
    <row r="29" spans="2:20">
      <c r="B29" s="8" t="s">
        <v>160</v>
      </c>
      <c r="C29" s="22">
        <v>6732</v>
      </c>
      <c r="D29" s="23">
        <v>183.5</v>
      </c>
      <c r="E29" s="22">
        <v>3158</v>
      </c>
      <c r="F29" s="23">
        <v>86.1</v>
      </c>
      <c r="G29" s="22">
        <v>3876</v>
      </c>
      <c r="H29" s="23">
        <v>105.7</v>
      </c>
      <c r="I29" s="22">
        <v>2646</v>
      </c>
      <c r="J29" s="23">
        <v>72.099999999999994</v>
      </c>
      <c r="K29" s="22">
        <v>397</v>
      </c>
      <c r="L29" s="23">
        <v>10.8</v>
      </c>
      <c r="M29" s="22">
        <v>577</v>
      </c>
      <c r="N29" s="23">
        <v>15.7</v>
      </c>
      <c r="O29" s="22">
        <v>5794</v>
      </c>
      <c r="P29" s="23">
        <v>157.9</v>
      </c>
      <c r="Q29" s="24"/>
      <c r="R29" s="23"/>
      <c r="S29" s="24"/>
      <c r="T29" s="23"/>
    </row>
    <row r="30" spans="2:20">
      <c r="B30" s="8" t="s">
        <v>198</v>
      </c>
      <c r="C30" s="22">
        <v>6176</v>
      </c>
      <c r="D30" s="23">
        <v>163.1</v>
      </c>
      <c r="E30" s="22">
        <v>3373</v>
      </c>
      <c r="F30" s="23">
        <v>89.1</v>
      </c>
      <c r="G30" s="22">
        <v>3931</v>
      </c>
      <c r="H30" s="23">
        <v>103.8</v>
      </c>
      <c r="I30" s="22">
        <v>2476</v>
      </c>
      <c r="J30" s="23">
        <v>65.400000000000006</v>
      </c>
      <c r="K30" s="22">
        <v>403</v>
      </c>
      <c r="L30" s="23">
        <v>10.6</v>
      </c>
      <c r="M30" s="22">
        <v>586</v>
      </c>
      <c r="N30" s="23">
        <v>15.5</v>
      </c>
      <c r="O30" s="22">
        <v>2849</v>
      </c>
      <c r="P30" s="23">
        <v>75.3</v>
      </c>
      <c r="Q30" s="22">
        <v>261</v>
      </c>
      <c r="R30" s="23">
        <v>6.9</v>
      </c>
      <c r="S30" s="24"/>
      <c r="T30" s="23"/>
    </row>
    <row r="31" spans="2:20">
      <c r="B31" s="8" t="s">
        <v>199</v>
      </c>
      <c r="C31" s="22">
        <v>6897</v>
      </c>
      <c r="D31" s="23">
        <v>176.7</v>
      </c>
      <c r="E31" s="22">
        <v>3481</v>
      </c>
      <c r="F31" s="23">
        <v>89.2</v>
      </c>
      <c r="G31" s="22">
        <v>4041</v>
      </c>
      <c r="H31" s="23">
        <v>103.5</v>
      </c>
      <c r="I31" s="22">
        <v>2475</v>
      </c>
      <c r="J31" s="23">
        <v>63.4</v>
      </c>
      <c r="K31" s="22">
        <v>529</v>
      </c>
      <c r="L31" s="23">
        <v>13.6</v>
      </c>
      <c r="M31" s="22">
        <v>650</v>
      </c>
      <c r="N31" s="23">
        <v>16.7</v>
      </c>
      <c r="O31" s="22">
        <v>3728</v>
      </c>
      <c r="P31" s="23">
        <v>95.5</v>
      </c>
      <c r="Q31" s="22">
        <v>267</v>
      </c>
      <c r="R31" s="23">
        <v>6.8</v>
      </c>
      <c r="S31" s="24"/>
      <c r="T31" s="23"/>
    </row>
    <row r="32" spans="2:20">
      <c r="B32" s="8" t="s">
        <v>200</v>
      </c>
      <c r="C32" s="22">
        <v>7266</v>
      </c>
      <c r="D32" s="23">
        <v>180.7</v>
      </c>
      <c r="E32" s="22">
        <v>3545</v>
      </c>
      <c r="F32" s="23">
        <v>88.2</v>
      </c>
      <c r="G32" s="22">
        <v>4420</v>
      </c>
      <c r="H32" s="23">
        <v>109.9</v>
      </c>
      <c r="I32" s="22">
        <v>2826</v>
      </c>
      <c r="J32" s="23">
        <v>70.3</v>
      </c>
      <c r="K32" s="22">
        <v>677</v>
      </c>
      <c r="L32" s="23">
        <v>16.8</v>
      </c>
      <c r="M32" s="22">
        <v>635</v>
      </c>
      <c r="N32" s="23">
        <v>15.8</v>
      </c>
      <c r="O32" s="22">
        <v>4719</v>
      </c>
      <c r="P32" s="23">
        <v>117.4</v>
      </c>
      <c r="Q32" s="22">
        <v>251</v>
      </c>
      <c r="R32" s="23">
        <v>6.2</v>
      </c>
      <c r="S32" s="24"/>
      <c r="T32" s="23"/>
    </row>
    <row r="33" spans="2:20">
      <c r="B33" s="8" t="s">
        <v>201</v>
      </c>
      <c r="C33" s="22">
        <v>6985</v>
      </c>
      <c r="D33" s="23">
        <v>168.8</v>
      </c>
      <c r="E33" s="22">
        <v>3824</v>
      </c>
      <c r="F33" s="23">
        <v>92.4</v>
      </c>
      <c r="G33" s="22">
        <v>4241</v>
      </c>
      <c r="H33" s="23">
        <v>102.5</v>
      </c>
      <c r="I33" s="22">
        <v>3090</v>
      </c>
      <c r="J33" s="23">
        <v>74.7</v>
      </c>
      <c r="K33" s="22">
        <v>1001</v>
      </c>
      <c r="L33" s="23">
        <v>24.2</v>
      </c>
      <c r="M33" s="22">
        <v>661</v>
      </c>
      <c r="N33" s="23">
        <v>16</v>
      </c>
      <c r="O33" s="22">
        <v>3332</v>
      </c>
      <c r="P33" s="23">
        <v>80.5</v>
      </c>
      <c r="Q33" s="22">
        <v>256</v>
      </c>
      <c r="R33" s="23">
        <v>6.2</v>
      </c>
      <c r="S33" s="24"/>
      <c r="T33" s="23"/>
    </row>
    <row r="34" spans="2:20">
      <c r="B34" s="8" t="s">
        <v>202</v>
      </c>
      <c r="C34" s="22">
        <v>7540</v>
      </c>
      <c r="D34" s="23">
        <v>177.2</v>
      </c>
      <c r="E34" s="22">
        <v>3858</v>
      </c>
      <c r="F34" s="23">
        <v>90.7</v>
      </c>
      <c r="G34" s="22">
        <v>4623</v>
      </c>
      <c r="H34" s="23">
        <v>108.6</v>
      </c>
      <c r="I34" s="22">
        <v>3278</v>
      </c>
      <c r="J34" s="23">
        <v>77</v>
      </c>
      <c r="K34" s="22">
        <v>1103</v>
      </c>
      <c r="L34" s="23">
        <v>25.9</v>
      </c>
      <c r="M34" s="22">
        <v>746</v>
      </c>
      <c r="N34" s="23">
        <v>17.5</v>
      </c>
      <c r="O34" s="22">
        <v>3294</v>
      </c>
      <c r="P34" s="23">
        <v>77.400000000000006</v>
      </c>
      <c r="Q34" s="22">
        <v>319</v>
      </c>
      <c r="R34" s="23">
        <v>7.5</v>
      </c>
      <c r="S34" s="24"/>
      <c r="T34" s="23"/>
    </row>
    <row r="35" spans="2:20">
      <c r="B35" s="8" t="s">
        <v>203</v>
      </c>
      <c r="C35" s="22">
        <v>8281</v>
      </c>
      <c r="D35" s="23">
        <v>189.4</v>
      </c>
      <c r="E35" s="22">
        <v>4087</v>
      </c>
      <c r="F35" s="23">
        <v>93.5</v>
      </c>
      <c r="G35" s="22">
        <v>4663</v>
      </c>
      <c r="H35" s="23">
        <v>106.6</v>
      </c>
      <c r="I35" s="22">
        <v>3557</v>
      </c>
      <c r="J35" s="23">
        <v>81.3</v>
      </c>
      <c r="K35" s="22">
        <v>1221</v>
      </c>
      <c r="L35" s="23">
        <v>27.9</v>
      </c>
      <c r="M35" s="22">
        <v>743</v>
      </c>
      <c r="N35" s="23">
        <v>17</v>
      </c>
      <c r="O35" s="22">
        <v>4440</v>
      </c>
      <c r="P35" s="23">
        <v>101.5</v>
      </c>
      <c r="Q35" s="22">
        <v>326</v>
      </c>
      <c r="R35" s="23">
        <v>7.5</v>
      </c>
      <c r="S35" s="24"/>
      <c r="T35" s="23"/>
    </row>
    <row r="36" spans="2:20">
      <c r="B36" s="8" t="s">
        <v>204</v>
      </c>
      <c r="C36" s="22">
        <v>8780</v>
      </c>
      <c r="D36" s="23">
        <v>195.5</v>
      </c>
      <c r="E36" s="22">
        <v>4264</v>
      </c>
      <c r="F36" s="23">
        <v>95</v>
      </c>
      <c r="G36" s="22">
        <v>4378</v>
      </c>
      <c r="H36" s="23">
        <v>97.5</v>
      </c>
      <c r="I36" s="22">
        <v>3634</v>
      </c>
      <c r="J36" s="23">
        <v>80.900000000000006</v>
      </c>
      <c r="K36" s="22">
        <v>1389</v>
      </c>
      <c r="L36" s="23">
        <v>30.9</v>
      </c>
      <c r="M36" s="22">
        <v>819</v>
      </c>
      <c r="N36" s="23">
        <v>18.2</v>
      </c>
      <c r="O36" s="22">
        <v>3543</v>
      </c>
      <c r="P36" s="23">
        <v>78.900000000000006</v>
      </c>
      <c r="Q36" s="22">
        <v>340</v>
      </c>
      <c r="R36" s="23">
        <v>7.6</v>
      </c>
      <c r="S36" s="24"/>
      <c r="T36" s="23"/>
    </row>
    <row r="37" spans="2:20">
      <c r="B37" s="8" t="s">
        <v>205</v>
      </c>
      <c r="C37" s="22">
        <v>9786</v>
      </c>
      <c r="D37" s="23">
        <v>212.4</v>
      </c>
      <c r="E37" s="22">
        <v>4381</v>
      </c>
      <c r="F37" s="23">
        <v>95.1</v>
      </c>
      <c r="G37" s="22">
        <v>4718</v>
      </c>
      <c r="H37" s="23">
        <v>102.4</v>
      </c>
      <c r="I37" s="22">
        <v>3704</v>
      </c>
      <c r="J37" s="23">
        <v>80.400000000000006</v>
      </c>
      <c r="K37" s="22">
        <v>1429</v>
      </c>
      <c r="L37" s="23">
        <v>31</v>
      </c>
      <c r="M37" s="22">
        <v>905</v>
      </c>
      <c r="N37" s="23">
        <v>19.600000000000001</v>
      </c>
      <c r="O37" s="22">
        <v>4518</v>
      </c>
      <c r="P37" s="23">
        <v>98.1</v>
      </c>
      <c r="Q37" s="22">
        <v>373</v>
      </c>
      <c r="R37" s="23">
        <v>8.1</v>
      </c>
      <c r="S37" s="24"/>
      <c r="T37" s="23"/>
    </row>
    <row r="38" spans="2:20">
      <c r="B38" s="8" t="s">
        <v>206</v>
      </c>
      <c r="C38" s="22">
        <v>10185</v>
      </c>
      <c r="D38" s="23">
        <v>215.6</v>
      </c>
      <c r="E38" s="22">
        <v>4571</v>
      </c>
      <c r="F38" s="23">
        <v>96.7</v>
      </c>
      <c r="G38" s="22">
        <v>4694</v>
      </c>
      <c r="H38" s="23">
        <v>99.3</v>
      </c>
      <c r="I38" s="22">
        <v>3913</v>
      </c>
      <c r="J38" s="23">
        <v>82.8</v>
      </c>
      <c r="K38" s="22">
        <v>1552</v>
      </c>
      <c r="L38" s="23">
        <v>32.799999999999997</v>
      </c>
      <c r="M38" s="22">
        <v>935</v>
      </c>
      <c r="N38" s="23">
        <v>19.8</v>
      </c>
      <c r="O38" s="22">
        <v>4216</v>
      </c>
      <c r="P38" s="23">
        <v>89.2</v>
      </c>
      <c r="Q38" s="22">
        <v>361</v>
      </c>
      <c r="R38" s="23">
        <v>7.6</v>
      </c>
      <c r="S38" s="24"/>
      <c r="T38" s="23"/>
    </row>
    <row r="39" spans="2:20">
      <c r="B39" s="11"/>
      <c r="C39" s="22"/>
      <c r="D39" s="23"/>
      <c r="E39" s="22"/>
      <c r="F39" s="23"/>
      <c r="G39" s="22"/>
      <c r="H39" s="23"/>
      <c r="I39" s="22"/>
      <c r="J39" s="23"/>
      <c r="K39" s="22"/>
      <c r="L39" s="23"/>
      <c r="M39" s="24"/>
      <c r="N39" s="23"/>
      <c r="O39" s="22"/>
      <c r="P39" s="23"/>
      <c r="Q39" s="24"/>
      <c r="R39" s="23"/>
      <c r="S39" s="24"/>
      <c r="T39" s="23"/>
    </row>
    <row r="40" spans="2:20">
      <c r="B40" s="8" t="s">
        <v>161</v>
      </c>
      <c r="C40" s="22">
        <v>9947</v>
      </c>
      <c r="D40" s="23">
        <v>205.4</v>
      </c>
      <c r="E40" s="22">
        <v>4572</v>
      </c>
      <c r="F40" s="23">
        <v>94.4</v>
      </c>
      <c r="G40" s="22">
        <v>4533</v>
      </c>
      <c r="H40" s="23">
        <v>93.6</v>
      </c>
      <c r="I40" s="22">
        <v>3805</v>
      </c>
      <c r="J40" s="23">
        <v>78.599999999999994</v>
      </c>
      <c r="K40" s="22">
        <v>1572</v>
      </c>
      <c r="L40" s="23">
        <v>32.5</v>
      </c>
      <c r="M40" s="22">
        <v>880</v>
      </c>
      <c r="N40" s="23">
        <v>18.2</v>
      </c>
      <c r="O40" s="22">
        <v>3321</v>
      </c>
      <c r="P40" s="23">
        <v>68.599999999999994</v>
      </c>
      <c r="Q40" s="22">
        <v>329</v>
      </c>
      <c r="R40" s="23">
        <v>6.8</v>
      </c>
      <c r="S40" s="22">
        <v>1047</v>
      </c>
      <c r="T40" s="23">
        <v>21.6</v>
      </c>
    </row>
    <row r="41" spans="2:20">
      <c r="B41" s="8" t="s">
        <v>207</v>
      </c>
      <c r="C41" s="22">
        <v>10206</v>
      </c>
      <c r="D41" s="23">
        <v>209</v>
      </c>
      <c r="E41" s="22">
        <v>4763</v>
      </c>
      <c r="F41" s="23">
        <v>97.5</v>
      </c>
      <c r="G41" s="22">
        <v>4388</v>
      </c>
      <c r="H41" s="23">
        <v>89.8</v>
      </c>
      <c r="I41" s="22">
        <v>3630</v>
      </c>
      <c r="J41" s="23">
        <v>74.3</v>
      </c>
      <c r="K41" s="22">
        <v>1516</v>
      </c>
      <c r="L41" s="23">
        <v>31</v>
      </c>
      <c r="M41" s="22">
        <v>950</v>
      </c>
      <c r="N41" s="23">
        <v>19.5</v>
      </c>
      <c r="O41" s="22">
        <v>2883</v>
      </c>
      <c r="P41" s="23">
        <v>59</v>
      </c>
      <c r="Q41" s="22">
        <v>365</v>
      </c>
      <c r="R41" s="23">
        <v>7.5</v>
      </c>
      <c r="S41" s="22">
        <v>1005</v>
      </c>
      <c r="T41" s="23">
        <v>20.6</v>
      </c>
    </row>
    <row r="42" spans="2:20">
      <c r="B42" s="8" t="s">
        <v>208</v>
      </c>
      <c r="C42" s="22">
        <v>11162</v>
      </c>
      <c r="D42" s="23">
        <v>226.6</v>
      </c>
      <c r="E42" s="22">
        <v>4935</v>
      </c>
      <c r="F42" s="23">
        <v>100.2</v>
      </c>
      <c r="G42" s="22">
        <v>4518</v>
      </c>
      <c r="H42" s="23">
        <v>91.7</v>
      </c>
      <c r="I42" s="22">
        <v>3179</v>
      </c>
      <c r="J42" s="23">
        <v>64.5</v>
      </c>
      <c r="K42" s="22">
        <v>1229</v>
      </c>
      <c r="L42" s="23">
        <v>25</v>
      </c>
      <c r="M42" s="22">
        <v>1121</v>
      </c>
      <c r="N42" s="23">
        <v>22.8</v>
      </c>
      <c r="O42" s="22">
        <v>3238</v>
      </c>
      <c r="P42" s="23">
        <v>65.7</v>
      </c>
      <c r="Q42" s="22">
        <v>386</v>
      </c>
      <c r="R42" s="23">
        <v>7.8</v>
      </c>
      <c r="S42" s="22">
        <v>948</v>
      </c>
      <c r="T42" s="23">
        <v>19.2</v>
      </c>
    </row>
    <row r="43" spans="2:20">
      <c r="B43" s="8" t="s">
        <v>209</v>
      </c>
      <c r="C43" s="22">
        <v>11509</v>
      </c>
      <c r="D43" s="23">
        <v>231.7</v>
      </c>
      <c r="E43" s="22">
        <v>5055</v>
      </c>
      <c r="F43" s="23">
        <v>101.8</v>
      </c>
      <c r="G43" s="22">
        <v>4318</v>
      </c>
      <c r="H43" s="23">
        <v>86.9</v>
      </c>
      <c r="I43" s="22">
        <v>3304</v>
      </c>
      <c r="J43" s="23">
        <v>66.5</v>
      </c>
      <c r="K43" s="22">
        <v>1278</v>
      </c>
      <c r="L43" s="23">
        <v>25.7</v>
      </c>
      <c r="M43" s="22">
        <v>1103</v>
      </c>
      <c r="N43" s="23">
        <v>22.2</v>
      </c>
      <c r="O43" s="22">
        <v>2756</v>
      </c>
      <c r="P43" s="23">
        <v>55.5</v>
      </c>
      <c r="Q43" s="22">
        <v>354</v>
      </c>
      <c r="R43" s="23">
        <v>7.1</v>
      </c>
      <c r="S43" s="22">
        <v>966</v>
      </c>
      <c r="T43" s="23">
        <v>19.5</v>
      </c>
    </row>
    <row r="44" spans="2:20">
      <c r="B44" s="8" t="s">
        <v>210</v>
      </c>
      <c r="C44" s="22">
        <v>11824</v>
      </c>
      <c r="D44" s="23">
        <v>236.1</v>
      </c>
      <c r="E44" s="22">
        <v>5370</v>
      </c>
      <c r="F44" s="23">
        <v>107.2</v>
      </c>
      <c r="G44" s="22">
        <v>4485</v>
      </c>
      <c r="H44" s="23">
        <v>89.6</v>
      </c>
      <c r="I44" s="22">
        <v>3774</v>
      </c>
      <c r="J44" s="23">
        <v>75.400000000000006</v>
      </c>
      <c r="K44" s="22">
        <v>1511</v>
      </c>
      <c r="L44" s="23">
        <v>30.2</v>
      </c>
      <c r="M44" s="22">
        <v>1100</v>
      </c>
      <c r="N44" s="23">
        <v>22</v>
      </c>
      <c r="O44" s="22">
        <v>3466</v>
      </c>
      <c r="P44" s="23">
        <v>69.2</v>
      </c>
      <c r="Q44" s="22">
        <v>378</v>
      </c>
      <c r="R44" s="23">
        <v>7.5</v>
      </c>
      <c r="S44" s="22">
        <v>914</v>
      </c>
      <c r="T44" s="23">
        <v>18.3</v>
      </c>
    </row>
    <row r="45" spans="2:20">
      <c r="B45" s="8" t="s">
        <v>211</v>
      </c>
      <c r="C45" s="22">
        <v>12456</v>
      </c>
      <c r="D45" s="23">
        <v>246.7</v>
      </c>
      <c r="E45" s="22">
        <v>5399</v>
      </c>
      <c r="F45" s="23">
        <v>106.9</v>
      </c>
      <c r="G45" s="22">
        <v>4420</v>
      </c>
      <c r="H45" s="23">
        <v>87.5</v>
      </c>
      <c r="I45" s="22">
        <v>3771</v>
      </c>
      <c r="J45" s="23">
        <v>74.7</v>
      </c>
      <c r="K45" s="22">
        <v>1676</v>
      </c>
      <c r="L45" s="23">
        <v>33.200000000000003</v>
      </c>
      <c r="M45" s="22">
        <v>1228</v>
      </c>
      <c r="N45" s="23">
        <v>24.3</v>
      </c>
      <c r="O45" s="22">
        <v>3801</v>
      </c>
      <c r="P45" s="23">
        <v>75.3</v>
      </c>
      <c r="Q45" s="22">
        <v>368</v>
      </c>
      <c r="R45" s="23">
        <v>7.3</v>
      </c>
      <c r="S45" s="22">
        <v>897</v>
      </c>
      <c r="T45" s="23">
        <v>17.8</v>
      </c>
    </row>
    <row r="46" spans="2:20">
      <c r="B46" s="8" t="s">
        <v>212</v>
      </c>
      <c r="C46" s="22">
        <v>13374</v>
      </c>
      <c r="D46" s="23">
        <v>262.7</v>
      </c>
      <c r="E46" s="22">
        <v>5752</v>
      </c>
      <c r="F46" s="23">
        <v>113</v>
      </c>
      <c r="G46" s="22">
        <v>4705</v>
      </c>
      <c r="H46" s="23">
        <v>92.4</v>
      </c>
      <c r="I46" s="22">
        <v>5246</v>
      </c>
      <c r="J46" s="23">
        <v>103.1</v>
      </c>
      <c r="K46" s="22">
        <v>1924</v>
      </c>
      <c r="L46" s="23">
        <v>37.799999999999997</v>
      </c>
      <c r="M46" s="22">
        <v>1266</v>
      </c>
      <c r="N46" s="23">
        <v>24.9</v>
      </c>
      <c r="O46" s="22">
        <v>4096</v>
      </c>
      <c r="P46" s="23">
        <v>80.5</v>
      </c>
      <c r="Q46" s="22">
        <v>446</v>
      </c>
      <c r="R46" s="23">
        <v>8.8000000000000007</v>
      </c>
      <c r="S46" s="22">
        <v>997</v>
      </c>
      <c r="T46" s="23">
        <v>19.600000000000001</v>
      </c>
    </row>
    <row r="47" spans="2:20">
      <c r="B47" s="8" t="s">
        <v>213</v>
      </c>
      <c r="C47" s="22">
        <v>13233</v>
      </c>
      <c r="D47" s="23">
        <v>257.8</v>
      </c>
      <c r="E47" s="22">
        <v>5732</v>
      </c>
      <c r="F47" s="23">
        <v>111.7</v>
      </c>
      <c r="G47" s="22">
        <v>4378</v>
      </c>
      <c r="H47" s="23">
        <v>85.3</v>
      </c>
      <c r="I47" s="22">
        <v>4580</v>
      </c>
      <c r="J47" s="23">
        <v>89.2</v>
      </c>
      <c r="K47" s="22">
        <v>2187</v>
      </c>
      <c r="L47" s="23">
        <v>42.6</v>
      </c>
      <c r="M47" s="22">
        <v>1255</v>
      </c>
      <c r="N47" s="23">
        <v>24.5</v>
      </c>
      <c r="O47" s="22">
        <v>4098</v>
      </c>
      <c r="P47" s="23">
        <v>79.8</v>
      </c>
      <c r="Q47" s="22">
        <v>430</v>
      </c>
      <c r="R47" s="23">
        <v>8.4</v>
      </c>
      <c r="S47" s="22">
        <v>1168</v>
      </c>
      <c r="T47" s="23">
        <v>22.8</v>
      </c>
    </row>
    <row r="48" spans="2:20">
      <c r="B48" s="8" t="s">
        <v>214</v>
      </c>
      <c r="C48" s="22">
        <v>13887</v>
      </c>
      <c r="D48" s="23">
        <v>268.39999999999998</v>
      </c>
      <c r="E48" s="22">
        <v>6059</v>
      </c>
      <c r="F48" s="23">
        <v>117.1</v>
      </c>
      <c r="G48" s="22">
        <v>4543</v>
      </c>
      <c r="H48" s="23">
        <v>87.8</v>
      </c>
      <c r="I48" s="22">
        <v>3608</v>
      </c>
      <c r="J48" s="23">
        <v>69.7</v>
      </c>
      <c r="K48" s="22">
        <v>1490</v>
      </c>
      <c r="L48" s="23">
        <v>28.8</v>
      </c>
      <c r="M48" s="22">
        <v>1283</v>
      </c>
      <c r="N48" s="23">
        <v>24.8</v>
      </c>
      <c r="O48" s="22">
        <v>2869</v>
      </c>
      <c r="P48" s="23">
        <v>55.5</v>
      </c>
      <c r="Q48" s="22">
        <v>424</v>
      </c>
      <c r="R48" s="23">
        <v>8.1999999999999993</v>
      </c>
      <c r="S48" s="22">
        <v>869</v>
      </c>
      <c r="T48" s="23">
        <v>16.8</v>
      </c>
    </row>
    <row r="49" spans="2:20">
      <c r="B49" s="8" t="s">
        <v>215</v>
      </c>
      <c r="C49" s="22">
        <v>14898</v>
      </c>
      <c r="D49" s="23">
        <v>285.7</v>
      </c>
      <c r="E49" s="22">
        <v>6296</v>
      </c>
      <c r="F49" s="23">
        <v>120.7</v>
      </c>
      <c r="G49" s="22">
        <v>4415</v>
      </c>
      <c r="H49" s="23">
        <v>84.7</v>
      </c>
      <c r="I49" s="22">
        <v>3761</v>
      </c>
      <c r="J49" s="23">
        <v>72.099999999999994</v>
      </c>
      <c r="K49" s="22">
        <v>1553</v>
      </c>
      <c r="L49" s="23">
        <v>29.8</v>
      </c>
      <c r="M49" s="22">
        <v>1360</v>
      </c>
      <c r="N49" s="23">
        <v>26.1</v>
      </c>
      <c r="O49" s="22">
        <v>2803</v>
      </c>
      <c r="P49" s="23">
        <v>53.8</v>
      </c>
      <c r="Q49" s="22">
        <v>387</v>
      </c>
      <c r="R49" s="23">
        <v>7.4</v>
      </c>
      <c r="S49" s="22">
        <v>918</v>
      </c>
      <c r="T49" s="23">
        <v>17.600000000000001</v>
      </c>
    </row>
    <row r="50" spans="2:20">
      <c r="B50" s="8"/>
      <c r="C50" s="22"/>
      <c r="D50" s="23"/>
      <c r="E50" s="22"/>
      <c r="F50" s="23"/>
      <c r="G50" s="22"/>
      <c r="H50" s="23"/>
      <c r="I50" s="22"/>
      <c r="J50" s="23"/>
      <c r="K50" s="22"/>
      <c r="L50" s="23"/>
      <c r="M50" s="22"/>
      <c r="N50" s="23"/>
      <c r="O50" s="22"/>
      <c r="P50" s="23"/>
      <c r="Q50" s="22"/>
      <c r="R50" s="23"/>
      <c r="S50" s="22"/>
      <c r="T50" s="23"/>
    </row>
    <row r="51" spans="2:20">
      <c r="B51" s="8" t="s">
        <v>162</v>
      </c>
      <c r="C51" s="22">
        <v>15480</v>
      </c>
      <c r="D51" s="23">
        <v>294.5</v>
      </c>
      <c r="E51" s="22">
        <v>6513</v>
      </c>
      <c r="F51" s="23">
        <v>123.9</v>
      </c>
      <c r="G51" s="22">
        <v>4690</v>
      </c>
      <c r="H51" s="23">
        <v>89.2</v>
      </c>
      <c r="I51" s="22">
        <v>3961</v>
      </c>
      <c r="J51" s="23">
        <v>75.400000000000006</v>
      </c>
      <c r="K51" s="22">
        <v>1743</v>
      </c>
      <c r="L51" s="23">
        <v>33.200000000000003</v>
      </c>
      <c r="M51" s="22">
        <v>1408</v>
      </c>
      <c r="N51" s="23">
        <v>26.8</v>
      </c>
      <c r="O51" s="22">
        <v>2478</v>
      </c>
      <c r="P51" s="23">
        <v>47.1</v>
      </c>
      <c r="Q51" s="22">
        <v>468</v>
      </c>
      <c r="R51" s="23">
        <v>8.9</v>
      </c>
      <c r="S51" s="22">
        <v>941</v>
      </c>
      <c r="T51" s="23">
        <v>17.899999999999999</v>
      </c>
    </row>
    <row r="52" spans="2:20">
      <c r="B52" s="8" t="s">
        <v>216</v>
      </c>
      <c r="C52" s="22">
        <v>15761</v>
      </c>
      <c r="D52" s="23">
        <v>289.8</v>
      </c>
      <c r="E52" s="22">
        <v>6551</v>
      </c>
      <c r="F52" s="23">
        <v>120.5</v>
      </c>
      <c r="G52" s="22">
        <v>4698</v>
      </c>
      <c r="H52" s="23">
        <v>86.4</v>
      </c>
      <c r="I52" s="22">
        <v>4450</v>
      </c>
      <c r="J52" s="23">
        <v>81.8</v>
      </c>
      <c r="K52" s="22">
        <v>2156</v>
      </c>
      <c r="L52" s="23">
        <v>39.6</v>
      </c>
      <c r="M52" s="22">
        <v>1382</v>
      </c>
      <c r="N52" s="23">
        <v>25.4</v>
      </c>
      <c r="O52" s="22">
        <v>2235</v>
      </c>
      <c r="P52" s="23">
        <v>41.1</v>
      </c>
      <c r="Q52" s="22">
        <v>450</v>
      </c>
      <c r="R52" s="23">
        <v>8.3000000000000007</v>
      </c>
      <c r="S52" s="22">
        <v>906</v>
      </c>
      <c r="T52" s="23">
        <v>16.7</v>
      </c>
    </row>
    <row r="53" spans="2:20">
      <c r="B53" s="8" t="s">
        <v>217</v>
      </c>
      <c r="C53" s="22">
        <v>16016</v>
      </c>
      <c r="D53" s="23">
        <v>289.2</v>
      </c>
      <c r="E53" s="22">
        <v>6646</v>
      </c>
      <c r="F53" s="23">
        <v>120</v>
      </c>
      <c r="G53" s="22">
        <v>4841</v>
      </c>
      <c r="H53" s="23">
        <v>87.4</v>
      </c>
      <c r="I53" s="22">
        <v>3685</v>
      </c>
      <c r="J53" s="23">
        <v>66.5</v>
      </c>
      <c r="K53" s="22">
        <v>1368</v>
      </c>
      <c r="L53" s="23">
        <v>24.7</v>
      </c>
      <c r="M53" s="22">
        <v>1448</v>
      </c>
      <c r="N53" s="23">
        <v>26.1</v>
      </c>
      <c r="O53" s="22">
        <v>2349</v>
      </c>
      <c r="P53" s="23">
        <v>42.4</v>
      </c>
      <c r="Q53" s="22">
        <v>535</v>
      </c>
      <c r="R53" s="23">
        <v>9.6999999999999993</v>
      </c>
      <c r="S53" s="22">
        <v>1015</v>
      </c>
      <c r="T53" s="23">
        <v>18.3</v>
      </c>
    </row>
    <row r="54" spans="2:20">
      <c r="B54" s="8" t="s">
        <v>218</v>
      </c>
      <c r="C54" s="22">
        <v>17816</v>
      </c>
      <c r="D54" s="23">
        <v>331.3</v>
      </c>
      <c r="E54" s="22">
        <v>7127</v>
      </c>
      <c r="F54" s="23">
        <v>132.5</v>
      </c>
      <c r="G54" s="22">
        <v>5311</v>
      </c>
      <c r="H54" s="23">
        <v>98.8</v>
      </c>
      <c r="I54" s="22">
        <v>3480</v>
      </c>
      <c r="J54" s="23">
        <v>64.7</v>
      </c>
      <c r="K54" s="22">
        <v>1025</v>
      </c>
      <c r="L54" s="23">
        <v>19.100000000000001</v>
      </c>
      <c r="M54" s="22">
        <v>1535</v>
      </c>
      <c r="N54" s="23">
        <v>28.5</v>
      </c>
      <c r="O54" s="22">
        <v>2931</v>
      </c>
      <c r="P54" s="23">
        <v>54.5</v>
      </c>
      <c r="Q54" s="22">
        <v>518</v>
      </c>
      <c r="R54" s="23">
        <v>9.6</v>
      </c>
      <c r="S54" s="22">
        <v>1092</v>
      </c>
      <c r="T54" s="23">
        <v>20.3</v>
      </c>
    </row>
    <row r="55" spans="2:20">
      <c r="B55" s="8" t="s">
        <v>219</v>
      </c>
      <c r="C55" s="22">
        <v>17004</v>
      </c>
      <c r="D55" s="23">
        <v>316.2</v>
      </c>
      <c r="E55" s="22">
        <v>7277</v>
      </c>
      <c r="F55" s="23">
        <v>135.30000000000001</v>
      </c>
      <c r="G55" s="22">
        <v>4954</v>
      </c>
      <c r="H55" s="23">
        <v>92.1</v>
      </c>
      <c r="I55" s="22">
        <v>3350</v>
      </c>
      <c r="J55" s="23">
        <v>62.3</v>
      </c>
      <c r="K55" s="22">
        <v>1103</v>
      </c>
      <c r="L55" s="23">
        <v>20.5</v>
      </c>
      <c r="M55" s="22">
        <v>1554</v>
      </c>
      <c r="N55" s="23">
        <v>28.9</v>
      </c>
      <c r="O55" s="22">
        <v>2369</v>
      </c>
      <c r="P55" s="23">
        <v>44.1</v>
      </c>
      <c r="Q55" s="22">
        <v>471</v>
      </c>
      <c r="R55" s="23">
        <v>8.8000000000000007</v>
      </c>
      <c r="S55" s="22">
        <v>980</v>
      </c>
      <c r="T55" s="23">
        <v>18.2</v>
      </c>
    </row>
    <row r="56" spans="2:20">
      <c r="B56" s="8" t="s">
        <v>220</v>
      </c>
      <c r="C56" s="22">
        <v>17421</v>
      </c>
      <c r="D56" s="23">
        <v>320.5</v>
      </c>
      <c r="E56" s="22">
        <v>7486</v>
      </c>
      <c r="F56" s="23">
        <v>137.69999999999999</v>
      </c>
      <c r="G56" s="22">
        <v>5295</v>
      </c>
      <c r="H56" s="23">
        <v>97.4</v>
      </c>
      <c r="I56" s="22">
        <v>3432</v>
      </c>
      <c r="J56" s="23">
        <v>63.1</v>
      </c>
      <c r="K56" s="22">
        <v>1199</v>
      </c>
      <c r="L56" s="23">
        <v>22.1</v>
      </c>
      <c r="M56" s="22">
        <v>1561</v>
      </c>
      <c r="N56" s="23">
        <v>28.7</v>
      </c>
      <c r="O56" s="22">
        <v>1932</v>
      </c>
      <c r="P56" s="23">
        <v>35.5</v>
      </c>
      <c r="Q56" s="22">
        <v>535</v>
      </c>
      <c r="R56" s="23">
        <v>9.8000000000000007</v>
      </c>
      <c r="S56" s="22">
        <v>970</v>
      </c>
      <c r="T56" s="23">
        <v>17.8</v>
      </c>
    </row>
    <row r="57" spans="2:20">
      <c r="B57" s="8" t="s">
        <v>221</v>
      </c>
      <c r="C57" s="22">
        <v>17691</v>
      </c>
      <c r="D57" s="23">
        <v>309.89999999999998</v>
      </c>
      <c r="E57" s="22">
        <v>7845</v>
      </c>
      <c r="F57" s="23">
        <v>137.4</v>
      </c>
      <c r="G57" s="22">
        <v>5224</v>
      </c>
      <c r="H57" s="23">
        <v>91.5</v>
      </c>
      <c r="I57" s="22">
        <v>3776</v>
      </c>
      <c r="J57" s="23">
        <v>66.099999999999994</v>
      </c>
      <c r="K57" s="22">
        <v>1506</v>
      </c>
      <c r="L57" s="23">
        <v>26.4</v>
      </c>
      <c r="M57" s="22">
        <v>1530</v>
      </c>
      <c r="N57" s="23">
        <v>26.8</v>
      </c>
      <c r="O57" s="22">
        <v>1891</v>
      </c>
      <c r="P57" s="23">
        <v>33.1</v>
      </c>
      <c r="Q57" s="22">
        <v>554</v>
      </c>
      <c r="R57" s="23">
        <v>9.6999999999999993</v>
      </c>
      <c r="S57" s="22">
        <v>933</v>
      </c>
      <c r="T57" s="23">
        <v>16.3</v>
      </c>
    </row>
    <row r="58" spans="2:20">
      <c r="B58" s="8" t="s">
        <v>222</v>
      </c>
      <c r="C58" s="22">
        <v>18412</v>
      </c>
      <c r="D58" s="23">
        <v>303.39999999999998</v>
      </c>
      <c r="E58" s="22">
        <v>8188</v>
      </c>
      <c r="F58" s="23">
        <v>134.9</v>
      </c>
      <c r="G58" s="22">
        <v>5426</v>
      </c>
      <c r="H58" s="23">
        <v>89.4</v>
      </c>
      <c r="I58" s="22">
        <v>3848</v>
      </c>
      <c r="J58" s="23">
        <v>63.4</v>
      </c>
      <c r="K58" s="22">
        <v>1499</v>
      </c>
      <c r="L58" s="23">
        <v>24.7</v>
      </c>
      <c r="M58" s="22">
        <v>1618</v>
      </c>
      <c r="N58" s="23">
        <v>26.7</v>
      </c>
      <c r="O58" s="22">
        <v>2089</v>
      </c>
      <c r="P58" s="23">
        <v>34.4</v>
      </c>
      <c r="Q58" s="22">
        <v>697</v>
      </c>
      <c r="R58" s="23">
        <v>11.5</v>
      </c>
      <c r="S58" s="22">
        <v>1031</v>
      </c>
      <c r="T58" s="23">
        <v>17</v>
      </c>
    </row>
    <row r="59" spans="2:20">
      <c r="B59" s="8" t="s">
        <v>223</v>
      </c>
      <c r="C59" s="22">
        <v>18726</v>
      </c>
      <c r="D59" s="23">
        <v>302.3</v>
      </c>
      <c r="E59" s="22">
        <v>8336</v>
      </c>
      <c r="F59" s="23">
        <v>1346</v>
      </c>
      <c r="G59" s="22">
        <v>5272</v>
      </c>
      <c r="H59" s="23">
        <v>85.1</v>
      </c>
      <c r="I59" s="22">
        <v>4017</v>
      </c>
      <c r="J59" s="23">
        <v>64.8</v>
      </c>
      <c r="K59" s="22">
        <v>1545</v>
      </c>
      <c r="L59" s="23">
        <v>24.9</v>
      </c>
      <c r="M59" s="22">
        <v>1771</v>
      </c>
      <c r="N59" s="23">
        <v>28.6</v>
      </c>
      <c r="O59" s="22">
        <v>1853</v>
      </c>
      <c r="P59" s="23">
        <v>29.9</v>
      </c>
      <c r="Q59" s="22">
        <v>771</v>
      </c>
      <c r="R59" s="23">
        <v>12.4</v>
      </c>
      <c r="S59" s="22">
        <v>1085</v>
      </c>
      <c r="T59" s="23">
        <v>17.5</v>
      </c>
    </row>
    <row r="60" spans="2:20">
      <c r="B60" s="8" t="s">
        <v>224</v>
      </c>
      <c r="C60" s="22">
        <v>19137</v>
      </c>
      <c r="D60" s="23">
        <v>301.3</v>
      </c>
      <c r="E60" s="22">
        <v>8697</v>
      </c>
      <c r="F60" s="23">
        <v>136.9</v>
      </c>
      <c r="G60" s="22">
        <v>5438</v>
      </c>
      <c r="H60" s="23">
        <v>85.6</v>
      </c>
      <c r="I60" s="22">
        <v>3838</v>
      </c>
      <c r="J60" s="23">
        <v>60.4</v>
      </c>
      <c r="K60" s="22">
        <v>1493</v>
      </c>
      <c r="L60" s="23">
        <v>23.5</v>
      </c>
      <c r="M60" s="22">
        <v>1884</v>
      </c>
      <c r="N60" s="23">
        <v>29.7</v>
      </c>
      <c r="O60" s="22">
        <v>1885</v>
      </c>
      <c r="P60" s="23">
        <v>29.7</v>
      </c>
      <c r="Q60" s="22">
        <v>730</v>
      </c>
      <c r="R60" s="23">
        <v>11.5</v>
      </c>
      <c r="S60" s="22">
        <v>1135</v>
      </c>
      <c r="T60" s="23">
        <v>17.899999999999999</v>
      </c>
    </row>
    <row r="61" spans="2:20">
      <c r="B61" s="11"/>
      <c r="C61" s="11"/>
      <c r="D61" s="11"/>
      <c r="E61" s="11"/>
      <c r="F61" s="11"/>
      <c r="G61" s="11"/>
      <c r="H61" s="11"/>
      <c r="I61" s="11"/>
      <c r="J61" s="11"/>
      <c r="K61" s="11"/>
      <c r="L61" s="11"/>
      <c r="M61" s="11"/>
      <c r="N61" s="11"/>
      <c r="O61" s="11"/>
      <c r="P61" s="11"/>
      <c r="Q61" s="11"/>
      <c r="R61" s="11"/>
      <c r="S61" s="11"/>
      <c r="T61" s="11"/>
    </row>
    <row r="62" spans="2:20">
      <c r="B62" s="8" t="s">
        <v>163</v>
      </c>
      <c r="C62" s="9">
        <v>20521</v>
      </c>
      <c r="D62" s="10">
        <v>322.10000000000002</v>
      </c>
      <c r="E62" s="9">
        <v>8685</v>
      </c>
      <c r="F62" s="10">
        <v>136.30000000000001</v>
      </c>
      <c r="G62" s="9">
        <v>6376</v>
      </c>
      <c r="H62" s="10">
        <v>100.1</v>
      </c>
      <c r="I62" s="9">
        <v>3783</v>
      </c>
      <c r="J62" s="10">
        <v>59.4</v>
      </c>
      <c r="K62" s="9">
        <v>1680</v>
      </c>
      <c r="L62" s="10">
        <v>26.4</v>
      </c>
      <c r="M62" s="9">
        <v>1438</v>
      </c>
      <c r="N62" s="10">
        <v>22.6</v>
      </c>
      <c r="O62" s="9">
        <v>1358</v>
      </c>
      <c r="P62" s="10">
        <v>21.3</v>
      </c>
      <c r="Q62" s="9">
        <v>616</v>
      </c>
      <c r="R62" s="10">
        <v>9.6999999999999993</v>
      </c>
      <c r="S62" s="9">
        <v>1296</v>
      </c>
      <c r="T62" s="10">
        <v>20.3</v>
      </c>
    </row>
    <row r="63" spans="2:20">
      <c r="B63" s="8" t="s">
        <v>225</v>
      </c>
      <c r="C63" s="9">
        <v>21118</v>
      </c>
      <c r="D63" s="10">
        <v>322.60000000000002</v>
      </c>
      <c r="E63" s="9">
        <v>9187</v>
      </c>
      <c r="F63" s="10">
        <v>140.4</v>
      </c>
      <c r="G63" s="9">
        <v>6579</v>
      </c>
      <c r="H63" s="10">
        <v>100.5</v>
      </c>
      <c r="I63" s="9">
        <v>3916</v>
      </c>
      <c r="J63" s="10">
        <v>59.8</v>
      </c>
      <c r="K63" s="9">
        <v>1806</v>
      </c>
      <c r="L63" s="10">
        <v>27.6</v>
      </c>
      <c r="M63" s="9">
        <v>1374</v>
      </c>
      <c r="N63" s="10">
        <v>21</v>
      </c>
      <c r="O63" s="9">
        <v>1619</v>
      </c>
      <c r="P63" s="10">
        <v>24.7</v>
      </c>
      <c r="Q63" s="9">
        <v>569</v>
      </c>
      <c r="R63" s="10">
        <v>8.6999999999999993</v>
      </c>
      <c r="S63" s="9">
        <v>1312</v>
      </c>
      <c r="T63" s="10">
        <v>20</v>
      </c>
    </row>
    <row r="64" spans="2:20">
      <c r="B64" s="8" t="s">
        <v>226</v>
      </c>
      <c r="C64" s="9">
        <v>21247</v>
      </c>
      <c r="D64" s="10">
        <v>316.8</v>
      </c>
      <c r="E64" s="9">
        <v>9256</v>
      </c>
      <c r="F64" s="10">
        <v>138</v>
      </c>
      <c r="G64" s="9">
        <v>6521</v>
      </c>
      <c r="H64" s="10">
        <v>97.2</v>
      </c>
      <c r="I64" s="9">
        <v>3901</v>
      </c>
      <c r="J64" s="10">
        <v>58.2</v>
      </c>
      <c r="K64" s="9">
        <v>1815</v>
      </c>
      <c r="L64" s="10">
        <v>27.1</v>
      </c>
      <c r="M64" s="9">
        <v>1339</v>
      </c>
      <c r="N64" s="10">
        <v>20</v>
      </c>
      <c r="O64" s="9">
        <v>1571</v>
      </c>
      <c r="P64" s="10">
        <v>23.4</v>
      </c>
      <c r="Q64" s="9">
        <v>599</v>
      </c>
      <c r="R64" s="10">
        <v>8.9</v>
      </c>
      <c r="S64" s="9">
        <v>1294</v>
      </c>
      <c r="T64" s="10">
        <v>19.3</v>
      </c>
    </row>
    <row r="65" spans="2:20">
      <c r="B65" s="8" t="s">
        <v>227</v>
      </c>
      <c r="C65" s="9">
        <v>22425</v>
      </c>
      <c r="D65" s="10">
        <v>327.3</v>
      </c>
      <c r="E65" s="9">
        <v>9904</v>
      </c>
      <c r="F65" s="10">
        <v>144.5</v>
      </c>
      <c r="G65" s="9">
        <v>7045</v>
      </c>
      <c r="H65" s="10">
        <v>102.8</v>
      </c>
      <c r="I65" s="9">
        <v>4375</v>
      </c>
      <c r="J65" s="10">
        <v>63.8</v>
      </c>
      <c r="K65" s="9">
        <v>2051</v>
      </c>
      <c r="L65" s="10">
        <v>29.9</v>
      </c>
      <c r="M65" s="9">
        <v>1419</v>
      </c>
      <c r="N65" s="10">
        <v>20.7</v>
      </c>
      <c r="O65" s="9">
        <v>1538</v>
      </c>
      <c r="P65" s="10">
        <v>22.4</v>
      </c>
      <c r="Q65" s="9">
        <v>715</v>
      </c>
      <c r="R65" s="10">
        <v>10.4</v>
      </c>
      <c r="S65" s="9">
        <v>1270</v>
      </c>
      <c r="T65" s="10">
        <v>18.5</v>
      </c>
    </row>
    <row r="66" spans="2:20">
      <c r="B66" s="8" t="s">
        <v>228</v>
      </c>
      <c r="C66" s="9">
        <v>22362</v>
      </c>
      <c r="D66" s="10">
        <v>318.39999999999998</v>
      </c>
      <c r="E66" s="9">
        <v>10105</v>
      </c>
      <c r="F66" s="10">
        <v>143.9</v>
      </c>
      <c r="G66" s="9">
        <v>6964</v>
      </c>
      <c r="H66" s="10">
        <v>99.1</v>
      </c>
      <c r="I66" s="9">
        <v>3948</v>
      </c>
      <c r="J66" s="10">
        <v>56.2</v>
      </c>
      <c r="K66" s="9">
        <v>1916</v>
      </c>
      <c r="L66" s="10">
        <v>27.3</v>
      </c>
      <c r="M66" s="9">
        <v>1469</v>
      </c>
      <c r="N66" s="10">
        <v>20.9</v>
      </c>
      <c r="O66" s="9">
        <v>1380</v>
      </c>
      <c r="P66" s="10">
        <v>19.600000000000001</v>
      </c>
      <c r="Q66" s="9">
        <v>677</v>
      </c>
      <c r="R66" s="10">
        <v>9.6</v>
      </c>
      <c r="S66" s="9">
        <v>1170</v>
      </c>
      <c r="T66" s="10">
        <v>16.7</v>
      </c>
    </row>
    <row r="67" spans="2:20">
      <c r="B67" s="8" t="s">
        <v>229</v>
      </c>
      <c r="C67" s="9">
        <v>23440</v>
      </c>
      <c r="D67" s="10">
        <v>323.89999999999998</v>
      </c>
      <c r="E67" s="9">
        <v>10297</v>
      </c>
      <c r="F67" s="10">
        <v>142.30000000000001</v>
      </c>
      <c r="G67" s="9">
        <v>7362</v>
      </c>
      <c r="H67" s="10">
        <v>101.7</v>
      </c>
      <c r="I67" s="9">
        <v>4213</v>
      </c>
      <c r="J67" s="10">
        <v>58.2</v>
      </c>
      <c r="K67" s="9">
        <v>2129</v>
      </c>
      <c r="L67" s="10">
        <v>29.4</v>
      </c>
      <c r="M67" s="9">
        <v>1415</v>
      </c>
      <c r="N67" s="10">
        <v>19.600000000000001</v>
      </c>
      <c r="O67" s="9">
        <v>1538</v>
      </c>
      <c r="P67" s="10">
        <v>21.3</v>
      </c>
      <c r="Q67" s="9">
        <v>805</v>
      </c>
      <c r="R67" s="10">
        <v>11.1</v>
      </c>
      <c r="S67" s="9">
        <v>1237</v>
      </c>
      <c r="T67" s="10">
        <v>17.100000000000001</v>
      </c>
    </row>
    <row r="68" spans="2:20">
      <c r="B68" s="8" t="s">
        <v>230</v>
      </c>
      <c r="C68" s="9">
        <v>24661</v>
      </c>
      <c r="D68" s="10">
        <v>328.1</v>
      </c>
      <c r="E68" s="9">
        <v>10489</v>
      </c>
      <c r="F68" s="10">
        <v>139.6</v>
      </c>
      <c r="G68" s="9">
        <v>7114</v>
      </c>
      <c r="H68" s="10">
        <v>94.7</v>
      </c>
      <c r="I68" s="9">
        <v>3925</v>
      </c>
      <c r="J68" s="10">
        <v>52.2</v>
      </c>
      <c r="K68" s="9">
        <v>1826</v>
      </c>
      <c r="L68" s="10">
        <v>24.3</v>
      </c>
      <c r="M68" s="9">
        <v>1443</v>
      </c>
      <c r="N68" s="10">
        <v>19.2</v>
      </c>
      <c r="O68" s="9">
        <v>1723</v>
      </c>
      <c r="P68" s="10">
        <v>22.9</v>
      </c>
      <c r="Q68" s="9">
        <v>788</v>
      </c>
      <c r="R68" s="10">
        <v>10.5</v>
      </c>
      <c r="S68" s="9">
        <v>1251</v>
      </c>
      <c r="T68" s="10">
        <v>16.600000000000001</v>
      </c>
    </row>
    <row r="69" spans="2:20">
      <c r="B69" s="8" t="s">
        <v>231</v>
      </c>
      <c r="C69" s="9">
        <v>25369</v>
      </c>
      <c r="D69" s="10">
        <v>325.10000000000002</v>
      </c>
      <c r="E69" s="9">
        <v>10810</v>
      </c>
      <c r="F69" s="10">
        <v>138.5</v>
      </c>
      <c r="G69" s="9">
        <v>7632</v>
      </c>
      <c r="H69" s="10">
        <v>97.8</v>
      </c>
      <c r="I69" s="9">
        <v>3643</v>
      </c>
      <c r="J69" s="10">
        <v>46.7</v>
      </c>
      <c r="K69" s="9">
        <v>1680</v>
      </c>
      <c r="L69" s="10">
        <v>21.5</v>
      </c>
      <c r="M69" s="9">
        <v>1510</v>
      </c>
      <c r="N69" s="10">
        <v>19.399999999999999</v>
      </c>
      <c r="O69" s="9">
        <v>2045</v>
      </c>
      <c r="P69" s="10">
        <v>26.2</v>
      </c>
      <c r="Q69" s="9">
        <v>861</v>
      </c>
      <c r="R69" s="10">
        <v>11</v>
      </c>
      <c r="S69" s="9">
        <v>1248</v>
      </c>
      <c r="T69" s="10">
        <v>16</v>
      </c>
    </row>
    <row r="70" spans="2:20">
      <c r="B70" s="8" t="s">
        <v>232</v>
      </c>
      <c r="C70" s="9">
        <v>25215</v>
      </c>
      <c r="D70" s="10">
        <v>320.60000000000002</v>
      </c>
      <c r="E70" s="9">
        <v>10946</v>
      </c>
      <c r="F70" s="10">
        <v>139.19999999999999</v>
      </c>
      <c r="G70" s="9">
        <v>7547</v>
      </c>
      <c r="H70" s="10">
        <v>95.9</v>
      </c>
      <c r="I70" s="9">
        <v>3306</v>
      </c>
      <c r="J70" s="10">
        <v>42</v>
      </c>
      <c r="K70" s="9">
        <v>1466</v>
      </c>
      <c r="L70" s="10">
        <v>18.600000000000001</v>
      </c>
      <c r="M70" s="9">
        <v>1595</v>
      </c>
      <c r="N70" s="10">
        <v>20.3</v>
      </c>
      <c r="O70" s="9">
        <v>2076</v>
      </c>
      <c r="P70" s="10">
        <v>26.4</v>
      </c>
      <c r="Q70" s="9">
        <v>818</v>
      </c>
      <c r="R70" s="10">
        <v>10.4</v>
      </c>
      <c r="S70" s="9">
        <v>1300</v>
      </c>
      <c r="T70" s="10">
        <v>16.5</v>
      </c>
    </row>
    <row r="71" spans="2:20">
      <c r="B71" s="8" t="s">
        <v>233</v>
      </c>
      <c r="C71" s="9">
        <v>25323</v>
      </c>
      <c r="D71" s="10">
        <v>318.10000000000002</v>
      </c>
      <c r="E71" s="9">
        <v>11113</v>
      </c>
      <c r="F71" s="10">
        <v>139.6</v>
      </c>
      <c r="G71" s="9">
        <v>7700</v>
      </c>
      <c r="H71" s="10">
        <v>96.7</v>
      </c>
      <c r="I71" s="9">
        <v>3666</v>
      </c>
      <c r="J71" s="10">
        <v>46.1</v>
      </c>
      <c r="K71" s="9">
        <v>1587</v>
      </c>
      <c r="L71" s="10">
        <v>19.899999999999999</v>
      </c>
      <c r="M71" s="9">
        <v>1715</v>
      </c>
      <c r="N71" s="10">
        <v>21.5</v>
      </c>
      <c r="O71" s="9">
        <v>1810</v>
      </c>
      <c r="P71" s="10">
        <v>22.7</v>
      </c>
      <c r="Q71" s="9">
        <v>815</v>
      </c>
      <c r="R71" s="10">
        <v>10.199999999999999</v>
      </c>
      <c r="S71" s="9">
        <v>1403</v>
      </c>
      <c r="T71" s="10">
        <v>17.600000000000001</v>
      </c>
    </row>
    <row r="72" spans="2:20">
      <c r="B72" s="11"/>
      <c r="C72" s="9"/>
      <c r="D72" s="13"/>
      <c r="E72" s="9"/>
      <c r="F72" s="10"/>
      <c r="G72" s="9"/>
      <c r="H72" s="10"/>
      <c r="I72" s="9"/>
      <c r="J72" s="10"/>
      <c r="K72" s="9"/>
      <c r="L72" s="10"/>
      <c r="M72" s="9"/>
      <c r="N72" s="10"/>
      <c r="O72" s="9"/>
      <c r="P72" s="10"/>
      <c r="Q72" s="12"/>
      <c r="R72" s="10"/>
      <c r="S72" s="9"/>
      <c r="T72" s="10"/>
    </row>
    <row r="73" spans="2:20">
      <c r="B73" s="8" t="s">
        <v>164</v>
      </c>
      <c r="C73" s="9">
        <v>25728</v>
      </c>
      <c r="D73" s="10">
        <v>328.9</v>
      </c>
      <c r="E73" s="9">
        <v>11331</v>
      </c>
      <c r="F73" s="10">
        <v>144.80000000000001</v>
      </c>
      <c r="G73" s="9">
        <v>7682</v>
      </c>
      <c r="H73" s="10">
        <v>98.2</v>
      </c>
      <c r="I73" s="9">
        <v>3688</v>
      </c>
      <c r="J73" s="10">
        <v>47.1</v>
      </c>
      <c r="K73" s="9">
        <v>1710</v>
      </c>
      <c r="L73" s="10">
        <v>21.9</v>
      </c>
      <c r="M73" s="9">
        <v>1784</v>
      </c>
      <c r="N73" s="10">
        <v>22.8</v>
      </c>
      <c r="O73" s="9">
        <v>2002</v>
      </c>
      <c r="P73" s="10">
        <v>25.6</v>
      </c>
      <c r="Q73" s="9">
        <v>840</v>
      </c>
      <c r="R73" s="10">
        <v>10.7</v>
      </c>
      <c r="S73" s="9">
        <v>1352</v>
      </c>
      <c r="T73" s="10">
        <v>17.3</v>
      </c>
    </row>
    <row r="74" spans="2:20">
      <c r="B74" s="8" t="s">
        <v>234</v>
      </c>
      <c r="C74" s="9">
        <v>25519</v>
      </c>
      <c r="D74" s="10">
        <v>322.89999999999998</v>
      </c>
      <c r="E74" s="9">
        <v>11476</v>
      </c>
      <c r="F74" s="10">
        <v>145.19999999999999</v>
      </c>
      <c r="G74" s="9">
        <v>7745</v>
      </c>
      <c r="H74" s="10">
        <v>98</v>
      </c>
      <c r="I74" s="9">
        <v>3692</v>
      </c>
      <c r="J74" s="10">
        <v>46.7</v>
      </c>
      <c r="K74" s="9">
        <v>1656</v>
      </c>
      <c r="L74" s="10">
        <v>21</v>
      </c>
      <c r="M74" s="9">
        <v>1778</v>
      </c>
      <c r="N74" s="10">
        <v>22.5</v>
      </c>
      <c r="O74" s="9">
        <v>1692</v>
      </c>
      <c r="P74" s="10">
        <v>21.4</v>
      </c>
      <c r="Q74" s="9">
        <v>858</v>
      </c>
      <c r="R74" s="10">
        <v>10.9</v>
      </c>
      <c r="S74" s="9">
        <v>1448</v>
      </c>
      <c r="T74" s="10">
        <v>18.3</v>
      </c>
    </row>
    <row r="75" spans="2:20">
      <c r="B75" s="8" t="s">
        <v>235</v>
      </c>
      <c r="C75" s="9">
        <v>27226</v>
      </c>
      <c r="D75" s="10">
        <v>342.9</v>
      </c>
      <c r="E75" s="9">
        <v>11752</v>
      </c>
      <c r="F75" s="10">
        <v>148</v>
      </c>
      <c r="G75" s="9">
        <v>7783</v>
      </c>
      <c r="H75" s="10">
        <v>98</v>
      </c>
      <c r="I75" s="9">
        <v>3758</v>
      </c>
      <c r="J75" s="10">
        <v>47.3</v>
      </c>
      <c r="K75" s="9">
        <v>1668</v>
      </c>
      <c r="L75" s="10">
        <v>21</v>
      </c>
      <c r="M75" s="9">
        <v>1908</v>
      </c>
      <c r="N75" s="10">
        <v>24</v>
      </c>
      <c r="O75" s="9">
        <v>1824</v>
      </c>
      <c r="P75" s="10">
        <v>23</v>
      </c>
      <c r="Q75" s="9">
        <v>859</v>
      </c>
      <c r="R75" s="10">
        <v>10.8</v>
      </c>
      <c r="S75" s="9">
        <v>1477</v>
      </c>
      <c r="T75" s="10">
        <v>18.600000000000001</v>
      </c>
    </row>
    <row r="76" spans="2:20">
      <c r="B76" s="8" t="s">
        <v>236</v>
      </c>
      <c r="C76" s="9">
        <v>27483</v>
      </c>
      <c r="D76" s="10">
        <v>342.3</v>
      </c>
      <c r="E76" s="9">
        <v>12078</v>
      </c>
      <c r="F76" s="10">
        <v>150.4</v>
      </c>
      <c r="G76" s="9">
        <v>8168</v>
      </c>
      <c r="H76" s="10">
        <v>101.7</v>
      </c>
      <c r="I76" s="9">
        <v>4033</v>
      </c>
      <c r="J76" s="10">
        <v>50.2</v>
      </c>
      <c r="K76" s="9">
        <v>2005</v>
      </c>
      <c r="L76" s="10">
        <v>25</v>
      </c>
      <c r="M76" s="9">
        <v>2049</v>
      </c>
      <c r="N76" s="10">
        <v>25.5</v>
      </c>
      <c r="O76" s="9">
        <v>1995</v>
      </c>
      <c r="P76" s="10">
        <v>24.8</v>
      </c>
      <c r="Q76" s="9">
        <v>958</v>
      </c>
      <c r="R76" s="10">
        <v>11.9</v>
      </c>
      <c r="S76" s="9">
        <v>1652</v>
      </c>
      <c r="T76" s="10">
        <v>20.6</v>
      </c>
    </row>
    <row r="77" spans="2:20">
      <c r="B77" s="8" t="s">
        <v>237</v>
      </c>
      <c r="C77" s="9">
        <v>27496</v>
      </c>
      <c r="D77" s="10">
        <v>339.5</v>
      </c>
      <c r="E77" s="9">
        <v>12087</v>
      </c>
      <c r="F77" s="10">
        <v>149.19999999999999</v>
      </c>
      <c r="G77" s="9">
        <v>7940</v>
      </c>
      <c r="H77" s="10">
        <v>98</v>
      </c>
      <c r="I77" s="9">
        <v>4416</v>
      </c>
      <c r="J77" s="10">
        <v>54.5</v>
      </c>
      <c r="K77" s="9">
        <v>2286</v>
      </c>
      <c r="L77" s="10">
        <v>28.2</v>
      </c>
      <c r="M77" s="9">
        <v>2055</v>
      </c>
      <c r="N77" s="10">
        <v>25.4</v>
      </c>
      <c r="O77" s="9">
        <v>1714</v>
      </c>
      <c r="P77" s="10">
        <v>21.2</v>
      </c>
      <c r="Q77" s="9">
        <v>995</v>
      </c>
      <c r="R77" s="10">
        <v>12.3</v>
      </c>
      <c r="S77" s="9">
        <v>1559</v>
      </c>
      <c r="T77" s="10">
        <v>19.2</v>
      </c>
    </row>
    <row r="78" spans="2:20">
      <c r="B78" s="8" t="s">
        <v>238</v>
      </c>
      <c r="C78" s="9">
        <v>28134</v>
      </c>
      <c r="D78" s="10">
        <v>343.1</v>
      </c>
      <c r="E78" s="9">
        <v>12419</v>
      </c>
      <c r="F78" s="10">
        <v>151.5</v>
      </c>
      <c r="G78" s="9">
        <v>7769</v>
      </c>
      <c r="H78" s="10">
        <v>94.8</v>
      </c>
      <c r="I78" s="9">
        <v>4494</v>
      </c>
      <c r="J78" s="10">
        <v>54.8</v>
      </c>
      <c r="K78" s="9">
        <v>2271</v>
      </c>
      <c r="L78" s="10">
        <v>27.7</v>
      </c>
      <c r="M78" s="9">
        <v>2153</v>
      </c>
      <c r="N78" s="10">
        <v>26.3</v>
      </c>
      <c r="O78" s="9">
        <v>1987</v>
      </c>
      <c r="P78" s="10">
        <v>24.2</v>
      </c>
      <c r="Q78" s="9">
        <v>1068</v>
      </c>
      <c r="R78" s="10">
        <v>13</v>
      </c>
      <c r="S78" s="9">
        <v>1726</v>
      </c>
      <c r="T78" s="10">
        <v>21.1</v>
      </c>
    </row>
    <row r="79" spans="2:20">
      <c r="B79" s="8" t="s">
        <v>239</v>
      </c>
      <c r="C79" s="9">
        <v>28277</v>
      </c>
      <c r="D79" s="10">
        <v>340.1</v>
      </c>
      <c r="E79" s="9">
        <v>12506</v>
      </c>
      <c r="F79" s="10">
        <v>150.4</v>
      </c>
      <c r="G79" s="9">
        <v>7732</v>
      </c>
      <c r="H79" s="10">
        <v>93</v>
      </c>
      <c r="I79" s="9">
        <v>4737</v>
      </c>
      <c r="J79" s="10">
        <v>57</v>
      </c>
      <c r="K79" s="9">
        <v>2407</v>
      </c>
      <c r="L79" s="10">
        <v>29</v>
      </c>
      <c r="M79" s="9">
        <v>2243</v>
      </c>
      <c r="N79" s="10">
        <v>27</v>
      </c>
      <c r="O79" s="9">
        <v>2026</v>
      </c>
      <c r="P79" s="10">
        <v>24.4</v>
      </c>
      <c r="Q79" s="9">
        <v>1152</v>
      </c>
      <c r="R79" s="10">
        <v>13.9</v>
      </c>
      <c r="S79" s="9">
        <v>1745</v>
      </c>
      <c r="T79" s="10">
        <v>21</v>
      </c>
    </row>
    <row r="80" spans="2:20">
      <c r="B80" s="8" t="s">
        <v>240</v>
      </c>
      <c r="C80" s="9">
        <v>28757</v>
      </c>
      <c r="D80" s="10">
        <v>333.8</v>
      </c>
      <c r="E80" s="9">
        <v>13030</v>
      </c>
      <c r="F80" s="10">
        <v>151.19999999999999</v>
      </c>
      <c r="G80" s="9">
        <v>7846</v>
      </c>
      <c r="H80" s="10">
        <v>91.1</v>
      </c>
      <c r="I80" s="9">
        <v>4519</v>
      </c>
      <c r="J80" s="10">
        <v>52.4</v>
      </c>
      <c r="K80" s="9">
        <v>2265</v>
      </c>
      <c r="L80" s="10">
        <v>26.3</v>
      </c>
      <c r="M80" s="9">
        <v>2182</v>
      </c>
      <c r="N80" s="10">
        <v>25.3</v>
      </c>
      <c r="O80" s="9">
        <v>1973</v>
      </c>
      <c r="P80" s="10">
        <v>22.9</v>
      </c>
      <c r="Q80" s="9">
        <v>1240</v>
      </c>
      <c r="R80" s="10">
        <v>14.4</v>
      </c>
      <c r="S80" s="9">
        <v>1730</v>
      </c>
      <c r="T80" s="10">
        <v>20.100000000000001</v>
      </c>
    </row>
    <row r="81" spans="2:20">
      <c r="B81" s="8" t="s">
        <v>241</v>
      </c>
      <c r="C81" s="9">
        <v>29680</v>
      </c>
      <c r="D81" s="10">
        <v>342.1</v>
      </c>
      <c r="E81" s="9">
        <v>13292</v>
      </c>
      <c r="F81" s="10">
        <v>153.19999999999999</v>
      </c>
      <c r="G81" s="9">
        <v>7913</v>
      </c>
      <c r="H81" s="10">
        <v>91.2</v>
      </c>
      <c r="I81" s="9">
        <v>4603</v>
      </c>
      <c r="J81" s="10">
        <v>53.1</v>
      </c>
      <c r="K81" s="9">
        <v>2466</v>
      </c>
      <c r="L81" s="10">
        <v>28.4</v>
      </c>
      <c r="M81" s="9">
        <v>2298</v>
      </c>
      <c r="N81" s="10">
        <v>26.5</v>
      </c>
      <c r="O81" s="9">
        <v>2341</v>
      </c>
      <c r="P81" s="10">
        <v>27</v>
      </c>
      <c r="Q81" s="9">
        <v>1259</v>
      </c>
      <c r="R81" s="10">
        <v>14.5</v>
      </c>
      <c r="S81" s="9">
        <v>1262</v>
      </c>
      <c r="T81" s="10">
        <v>14.5</v>
      </c>
    </row>
    <row r="82" spans="2:20">
      <c r="B82" s="8" t="s">
        <v>242</v>
      </c>
      <c r="C82" s="9">
        <v>29396</v>
      </c>
      <c r="D82" s="10">
        <v>336.6</v>
      </c>
      <c r="E82" s="9">
        <v>13328</v>
      </c>
      <c r="F82" s="10">
        <v>152.6</v>
      </c>
      <c r="G82" s="9">
        <v>7706</v>
      </c>
      <c r="H82" s="10">
        <v>88.2</v>
      </c>
      <c r="I82" s="9">
        <v>4766</v>
      </c>
      <c r="J82" s="10">
        <v>54.6</v>
      </c>
      <c r="K82" s="9">
        <v>2579</v>
      </c>
      <c r="L82" s="10">
        <v>29.5</v>
      </c>
      <c r="M82" s="9">
        <v>2188</v>
      </c>
      <c r="N82" s="10">
        <v>25.1</v>
      </c>
      <c r="O82" s="9">
        <v>2229</v>
      </c>
      <c r="P82" s="10">
        <v>25.5</v>
      </c>
      <c r="Q82" s="9">
        <v>1430</v>
      </c>
      <c r="R82" s="10">
        <v>16.399999999999999</v>
      </c>
      <c r="S82" s="9">
        <v>1289</v>
      </c>
      <c r="T82" s="10">
        <v>14.8</v>
      </c>
    </row>
    <row r="83" spans="2:20">
      <c r="B83" s="11"/>
      <c r="C83" s="9"/>
      <c r="D83" s="10"/>
      <c r="E83" s="9"/>
      <c r="F83" s="10"/>
      <c r="G83" s="9"/>
      <c r="H83" s="10"/>
      <c r="I83" s="9"/>
      <c r="J83" s="10"/>
      <c r="K83" s="9"/>
      <c r="L83" s="10"/>
      <c r="M83" s="9"/>
      <c r="N83" s="10"/>
      <c r="O83" s="9"/>
      <c r="P83" s="10"/>
      <c r="Q83" s="9"/>
      <c r="R83" s="10"/>
      <c r="S83" s="9"/>
      <c r="T83" s="13"/>
    </row>
    <row r="84" spans="2:20">
      <c r="B84" s="8" t="s">
        <v>165</v>
      </c>
      <c r="C84" s="9">
        <v>29204</v>
      </c>
      <c r="D84" s="10">
        <v>329.1</v>
      </c>
      <c r="E84" s="9">
        <v>13551</v>
      </c>
      <c r="F84" s="10">
        <v>152.69999999999999</v>
      </c>
      <c r="G84" s="9">
        <v>7691</v>
      </c>
      <c r="H84" s="10">
        <v>86.7</v>
      </c>
      <c r="I84" s="9">
        <v>4428</v>
      </c>
      <c r="J84" s="10">
        <v>49.9</v>
      </c>
      <c r="K84" s="9">
        <v>2309</v>
      </c>
      <c r="L84" s="10">
        <v>26</v>
      </c>
      <c r="M84" s="9">
        <v>2180</v>
      </c>
      <c r="N84" s="10">
        <v>24.6</v>
      </c>
      <c r="O84" s="9">
        <v>2004</v>
      </c>
      <c r="P84" s="10">
        <v>22.6</v>
      </c>
      <c r="Q84" s="9">
        <v>1558</v>
      </c>
      <c r="R84" s="10">
        <v>17.600000000000001</v>
      </c>
      <c r="S84" s="9">
        <v>1174</v>
      </c>
      <c r="T84" s="10">
        <v>13.2</v>
      </c>
    </row>
    <row r="85" spans="2:20">
      <c r="B85" s="8" t="s">
        <v>243</v>
      </c>
      <c r="C85" s="9">
        <v>30095</v>
      </c>
      <c r="D85" s="10">
        <v>335.4</v>
      </c>
      <c r="E85" s="9">
        <v>13594</v>
      </c>
      <c r="F85" s="10">
        <v>151.5</v>
      </c>
      <c r="G85" s="9">
        <v>7826</v>
      </c>
      <c r="H85" s="10">
        <v>87.2</v>
      </c>
      <c r="I85" s="9">
        <v>4426</v>
      </c>
      <c r="J85" s="10">
        <v>49.3</v>
      </c>
      <c r="K85" s="9">
        <v>2274</v>
      </c>
      <c r="L85" s="10">
        <v>25.3</v>
      </c>
      <c r="M85" s="9">
        <v>2103</v>
      </c>
      <c r="N85" s="10">
        <v>23.4</v>
      </c>
      <c r="O85" s="9">
        <v>1981</v>
      </c>
      <c r="P85" s="10">
        <v>22.1</v>
      </c>
      <c r="Q85" s="9">
        <v>1657</v>
      </c>
      <c r="R85" s="10">
        <v>18.5</v>
      </c>
      <c r="S85" s="9">
        <v>1187</v>
      </c>
      <c r="T85" s="10">
        <v>13.2</v>
      </c>
    </row>
    <row r="86" spans="2:20">
      <c r="B86" s="8" t="s">
        <v>244</v>
      </c>
      <c r="C86" s="9">
        <v>30865</v>
      </c>
      <c r="D86" s="10">
        <v>342</v>
      </c>
      <c r="E86" s="9">
        <v>14045</v>
      </c>
      <c r="F86" s="10">
        <v>155.6</v>
      </c>
      <c r="G86" s="9">
        <v>7999</v>
      </c>
      <c r="H86" s="10">
        <v>88.6</v>
      </c>
      <c r="I86" s="9">
        <v>4566</v>
      </c>
      <c r="J86" s="10">
        <v>50.6</v>
      </c>
      <c r="K86" s="9">
        <v>2450</v>
      </c>
      <c r="L86" s="10">
        <v>27.1</v>
      </c>
      <c r="M86" s="9">
        <v>2222</v>
      </c>
      <c r="N86" s="10">
        <v>24.6</v>
      </c>
      <c r="O86" s="9">
        <v>2009</v>
      </c>
      <c r="P86" s="10">
        <v>22.3</v>
      </c>
      <c r="Q86" s="9">
        <v>1778</v>
      </c>
      <c r="R86" s="10">
        <v>19.7</v>
      </c>
      <c r="S86" s="9">
        <v>1153</v>
      </c>
      <c r="T86" s="10">
        <v>12.8</v>
      </c>
    </row>
    <row r="87" spans="2:20">
      <c r="B87" s="8" t="s">
        <v>245</v>
      </c>
      <c r="C87" s="9">
        <v>29944</v>
      </c>
      <c r="D87" s="10">
        <v>330.1</v>
      </c>
      <c r="E87" s="9">
        <v>14220</v>
      </c>
      <c r="F87" s="10">
        <v>156.69999999999999</v>
      </c>
      <c r="G87" s="9">
        <v>7987</v>
      </c>
      <c r="H87" s="10">
        <v>88</v>
      </c>
      <c r="I87" s="9">
        <v>4630</v>
      </c>
      <c r="J87" s="10">
        <v>51</v>
      </c>
      <c r="K87" s="9">
        <v>2389</v>
      </c>
      <c r="L87" s="10">
        <v>26.3</v>
      </c>
      <c r="M87" s="9">
        <v>2074</v>
      </c>
      <c r="N87" s="10">
        <v>22.9</v>
      </c>
      <c r="O87" s="9">
        <v>1958</v>
      </c>
      <c r="P87" s="10">
        <v>21.6</v>
      </c>
      <c r="Q87" s="9">
        <v>1711</v>
      </c>
      <c r="R87" s="10">
        <v>18.899999999999999</v>
      </c>
      <c r="S87" s="9">
        <v>1142</v>
      </c>
      <c r="T87" s="10">
        <v>12.6</v>
      </c>
    </row>
    <row r="88" spans="2:20">
      <c r="B88" s="8" t="s">
        <v>246</v>
      </c>
      <c r="C88" s="9">
        <v>29220</v>
      </c>
      <c r="D88" s="10">
        <v>320.8</v>
      </c>
      <c r="E88" s="9">
        <v>14241</v>
      </c>
      <c r="F88" s="10">
        <v>156.30000000000001</v>
      </c>
      <c r="G88" s="9">
        <v>7645</v>
      </c>
      <c r="H88" s="10">
        <v>83.9</v>
      </c>
      <c r="I88" s="9">
        <v>4211</v>
      </c>
      <c r="J88" s="10">
        <v>46.2</v>
      </c>
      <c r="K88" s="9">
        <v>1929</v>
      </c>
      <c r="L88" s="10">
        <v>21.2</v>
      </c>
      <c r="M88" s="9">
        <v>1940</v>
      </c>
      <c r="N88" s="10">
        <v>21.3</v>
      </c>
      <c r="O88" s="9">
        <v>1637</v>
      </c>
      <c r="P88" s="10">
        <v>18</v>
      </c>
      <c r="Q88" s="9">
        <v>1650</v>
      </c>
      <c r="R88" s="10">
        <v>18.100000000000001</v>
      </c>
      <c r="S88" s="9">
        <v>1187</v>
      </c>
      <c r="T88" s="10">
        <v>13</v>
      </c>
    </row>
    <row r="89" spans="2:20">
      <c r="B89" s="8" t="s">
        <v>247</v>
      </c>
      <c r="C89" s="9">
        <v>28298</v>
      </c>
      <c r="D89" s="10">
        <v>310.7</v>
      </c>
      <c r="E89" s="9">
        <v>14445</v>
      </c>
      <c r="F89" s="10">
        <v>158.6</v>
      </c>
      <c r="G89" s="9">
        <v>7262</v>
      </c>
      <c r="H89" s="10">
        <v>79.7</v>
      </c>
      <c r="I89" s="9">
        <v>4002</v>
      </c>
      <c r="J89" s="10">
        <v>43.9</v>
      </c>
      <c r="K89" s="9">
        <v>1841</v>
      </c>
      <c r="L89" s="10">
        <v>20.2</v>
      </c>
      <c r="M89" s="9">
        <v>1819</v>
      </c>
      <c r="N89" s="10">
        <v>20</v>
      </c>
      <c r="O89" s="9">
        <v>1690</v>
      </c>
      <c r="P89" s="10">
        <v>18.600000000000001</v>
      </c>
      <c r="Q89" s="9">
        <v>1574</v>
      </c>
      <c r="R89" s="10">
        <v>17.3</v>
      </c>
      <c r="S89" s="9">
        <v>1119</v>
      </c>
      <c r="T89" s="10">
        <v>12.3</v>
      </c>
    </row>
    <row r="90" spans="2:20">
      <c r="B90" s="8" t="s">
        <v>248</v>
      </c>
      <c r="C90" s="9">
        <v>29233</v>
      </c>
      <c r="D90" s="10">
        <v>320.60000000000002</v>
      </c>
      <c r="E90" s="9">
        <v>14880</v>
      </c>
      <c r="F90" s="10">
        <v>163.19999999999999</v>
      </c>
      <c r="G90" s="9">
        <v>7354</v>
      </c>
      <c r="H90" s="10">
        <v>80.7</v>
      </c>
      <c r="I90" s="9">
        <v>3912</v>
      </c>
      <c r="J90" s="10">
        <v>42.9</v>
      </c>
      <c r="K90" s="9">
        <v>1993</v>
      </c>
      <c r="L90" s="10">
        <v>21.9</v>
      </c>
      <c r="M90" s="9">
        <v>1719</v>
      </c>
      <c r="N90" s="10">
        <v>18.899999999999999</v>
      </c>
      <c r="O90" s="9">
        <v>1812</v>
      </c>
      <c r="P90" s="10">
        <v>19.899999999999999</v>
      </c>
      <c r="Q90" s="9">
        <v>1486</v>
      </c>
      <c r="R90" s="10">
        <v>16.3</v>
      </c>
      <c r="S90" s="9">
        <v>1207</v>
      </c>
      <c r="T90" s="10">
        <v>13.2</v>
      </c>
    </row>
    <row r="91" spans="2:20">
      <c r="B91" s="8" t="s">
        <v>249</v>
      </c>
      <c r="C91" s="9">
        <v>28895</v>
      </c>
      <c r="D91" s="10">
        <v>315.60000000000002</v>
      </c>
      <c r="E91" s="9">
        <v>15125</v>
      </c>
      <c r="F91" s="10">
        <v>165.2</v>
      </c>
      <c r="G91" s="9">
        <v>6818</v>
      </c>
      <c r="H91" s="10">
        <v>74.5</v>
      </c>
      <c r="I91" s="9">
        <v>3945</v>
      </c>
      <c r="J91" s="10">
        <v>43.1</v>
      </c>
      <c r="K91" s="9">
        <v>1993</v>
      </c>
      <c r="L91" s="10">
        <v>21.8</v>
      </c>
      <c r="M91" s="9">
        <v>1615</v>
      </c>
      <c r="N91" s="10">
        <v>17.600000000000001</v>
      </c>
      <c r="O91" s="9">
        <v>1639</v>
      </c>
      <c r="P91" s="10">
        <v>17.899999999999999</v>
      </c>
      <c r="Q91" s="9">
        <v>1356</v>
      </c>
      <c r="R91" s="10">
        <v>14.8</v>
      </c>
      <c r="S91" s="9">
        <v>1164</v>
      </c>
      <c r="T91" s="10">
        <v>12.7</v>
      </c>
    </row>
    <row r="92" spans="2:20">
      <c r="B92" s="8" t="s">
        <v>250</v>
      </c>
      <c r="C92" s="9">
        <v>29406</v>
      </c>
      <c r="D92" s="10">
        <v>319.60000000000002</v>
      </c>
      <c r="E92" s="9">
        <v>15249</v>
      </c>
      <c r="F92" s="10">
        <v>165.7</v>
      </c>
      <c r="G92" s="9">
        <v>6520</v>
      </c>
      <c r="H92" s="10">
        <v>70.900000000000006</v>
      </c>
      <c r="I92" s="9">
        <v>3970</v>
      </c>
      <c r="J92" s="10">
        <v>43.1</v>
      </c>
      <c r="K92" s="9">
        <v>2138</v>
      </c>
      <c r="L92" s="10">
        <v>23.2</v>
      </c>
      <c r="M92" s="9">
        <v>1551</v>
      </c>
      <c r="N92" s="10">
        <v>16.899999999999999</v>
      </c>
      <c r="O92" s="9">
        <v>1828</v>
      </c>
      <c r="P92" s="10">
        <v>19.899999999999999</v>
      </c>
      <c r="Q92" s="9">
        <v>1351</v>
      </c>
      <c r="R92" s="10">
        <v>14.7</v>
      </c>
      <c r="S92" s="9">
        <v>1146</v>
      </c>
      <c r="T92" s="10">
        <v>12.5</v>
      </c>
    </row>
    <row r="93" spans="2:20">
      <c r="B93" s="8" t="s">
        <v>251</v>
      </c>
      <c r="C93" s="9">
        <v>29296</v>
      </c>
      <c r="D93" s="10">
        <v>316.7</v>
      </c>
      <c r="E93" s="9">
        <v>15409</v>
      </c>
      <c r="F93" s="10">
        <v>166.6</v>
      </c>
      <c r="G93" s="9">
        <v>6067</v>
      </c>
      <c r="H93" s="10">
        <v>65.599999999999994</v>
      </c>
      <c r="I93" s="9">
        <v>3839</v>
      </c>
      <c r="J93" s="10">
        <v>41.5</v>
      </c>
      <c r="K93" s="9">
        <v>1967</v>
      </c>
      <c r="L93" s="10">
        <v>21.3</v>
      </c>
      <c r="M93" s="9">
        <v>1449</v>
      </c>
      <c r="N93" s="10">
        <v>15.7</v>
      </c>
      <c r="O93" s="9">
        <v>1454</v>
      </c>
      <c r="P93" s="10">
        <v>15.7</v>
      </c>
      <c r="Q93" s="9">
        <v>1367</v>
      </c>
      <c r="R93" s="10">
        <v>14.8</v>
      </c>
      <c r="S93" s="9">
        <v>1173</v>
      </c>
      <c r="T93" s="10">
        <v>12.7</v>
      </c>
    </row>
    <row r="94" spans="2:20">
      <c r="B94" s="11"/>
      <c r="C94" s="9"/>
      <c r="D94" s="10"/>
      <c r="E94" s="9"/>
      <c r="F94" s="10"/>
      <c r="G94" s="9"/>
      <c r="H94" s="10"/>
      <c r="I94" s="9"/>
      <c r="J94" s="10"/>
      <c r="K94" s="9"/>
      <c r="L94" s="10"/>
      <c r="M94" s="9"/>
      <c r="N94" s="10"/>
      <c r="O94" s="9"/>
      <c r="P94" s="10"/>
      <c r="Q94" s="9"/>
      <c r="R94" s="10"/>
      <c r="S94" s="9"/>
      <c r="T94" s="13"/>
    </row>
    <row r="95" spans="2:20">
      <c r="B95" s="8" t="s">
        <v>166</v>
      </c>
      <c r="C95" s="9">
        <v>29790</v>
      </c>
      <c r="D95" s="10">
        <v>321.8</v>
      </c>
      <c r="E95" s="9">
        <v>15828</v>
      </c>
      <c r="F95" s="10">
        <v>171</v>
      </c>
      <c r="G95" s="9">
        <v>6164</v>
      </c>
      <c r="H95" s="10">
        <v>66.599999999999994</v>
      </c>
      <c r="I95" s="9">
        <v>3627</v>
      </c>
      <c r="J95" s="10">
        <v>39.200000000000003</v>
      </c>
      <c r="K95" s="9">
        <v>1880</v>
      </c>
      <c r="L95" s="10">
        <v>20.3</v>
      </c>
      <c r="M95" s="9">
        <v>1467</v>
      </c>
      <c r="N95" s="10">
        <v>15.8</v>
      </c>
      <c r="O95" s="9">
        <v>1712</v>
      </c>
      <c r="P95" s="10">
        <v>18.5</v>
      </c>
      <c r="Q95" s="9">
        <v>1362</v>
      </c>
      <c r="R95" s="10">
        <v>14.7</v>
      </c>
      <c r="S95" s="9">
        <v>1254</v>
      </c>
      <c r="T95" s="10">
        <v>13.5</v>
      </c>
    </row>
    <row r="96" spans="2:20">
      <c r="B96" s="8" t="s">
        <v>252</v>
      </c>
      <c r="C96" s="9">
        <v>30172</v>
      </c>
      <c r="D96" s="10">
        <v>327.60000000000002</v>
      </c>
      <c r="E96" s="9">
        <v>16142</v>
      </c>
      <c r="F96" s="10">
        <v>175.3</v>
      </c>
      <c r="G96" s="9">
        <v>6121</v>
      </c>
      <c r="H96" s="10">
        <v>66.5</v>
      </c>
      <c r="I96" s="9">
        <v>3390</v>
      </c>
      <c r="J96" s="10">
        <v>36.799999999999997</v>
      </c>
      <c r="K96" s="9">
        <v>1727</v>
      </c>
      <c r="L96" s="10">
        <v>18.8</v>
      </c>
      <c r="M96" s="9">
        <v>1487</v>
      </c>
      <c r="N96" s="10">
        <v>16.100000000000001</v>
      </c>
      <c r="O96" s="9">
        <v>1644</v>
      </c>
      <c r="P96" s="10">
        <v>17.899999999999999</v>
      </c>
      <c r="Q96" s="9">
        <v>1253</v>
      </c>
      <c r="R96" s="10">
        <v>13.6</v>
      </c>
      <c r="S96" s="9">
        <v>1270</v>
      </c>
      <c r="T96" s="10">
        <v>13.8</v>
      </c>
    </row>
    <row r="97" spans="2:20">
      <c r="B97" s="8" t="s">
        <v>253</v>
      </c>
      <c r="C97" s="9">
        <v>30099</v>
      </c>
      <c r="D97" s="10">
        <v>330.2</v>
      </c>
      <c r="E97" s="9">
        <v>16566</v>
      </c>
      <c r="F97" s="10">
        <v>181.7</v>
      </c>
      <c r="G97" s="9">
        <v>5839</v>
      </c>
      <c r="H97" s="10">
        <v>64.099999999999994</v>
      </c>
      <c r="I97" s="9">
        <v>3113</v>
      </c>
      <c r="J97" s="10">
        <v>34.200000000000003</v>
      </c>
      <c r="K97" s="9">
        <v>1555</v>
      </c>
      <c r="L97" s="10">
        <v>17.100000000000001</v>
      </c>
      <c r="M97" s="9">
        <v>1347</v>
      </c>
      <c r="N97" s="10">
        <v>14.8</v>
      </c>
      <c r="O97" s="9">
        <v>1665</v>
      </c>
      <c r="P97" s="10">
        <v>18.3</v>
      </c>
      <c r="Q97" s="9">
        <v>1244</v>
      </c>
      <c r="R97" s="10">
        <v>13.6</v>
      </c>
      <c r="S97" s="9">
        <v>1284</v>
      </c>
      <c r="T97" s="10">
        <v>14.1</v>
      </c>
    </row>
    <row r="98" spans="2:20">
      <c r="B98" s="8" t="s">
        <v>254</v>
      </c>
      <c r="C98" s="9">
        <v>30412</v>
      </c>
      <c r="D98" s="10">
        <v>336.1</v>
      </c>
      <c r="E98" s="9">
        <v>16785</v>
      </c>
      <c r="F98" s="10">
        <v>185.5</v>
      </c>
      <c r="G98" s="9">
        <v>5721</v>
      </c>
      <c r="H98" s="10">
        <v>63.2</v>
      </c>
      <c r="I98" s="9">
        <v>2947</v>
      </c>
      <c r="J98" s="10">
        <v>32.6</v>
      </c>
      <c r="K98" s="9">
        <v>1419</v>
      </c>
      <c r="L98" s="10">
        <v>15.7</v>
      </c>
      <c r="M98" s="9">
        <v>1470</v>
      </c>
      <c r="N98" s="10">
        <v>16.2</v>
      </c>
      <c r="O98" s="9">
        <v>2007</v>
      </c>
      <c r="P98" s="10">
        <v>22.2</v>
      </c>
      <c r="Q98" s="9">
        <v>1250</v>
      </c>
      <c r="R98" s="10">
        <v>13.8</v>
      </c>
      <c r="S98" s="9">
        <v>1269</v>
      </c>
      <c r="T98" s="10">
        <v>14</v>
      </c>
    </row>
    <row r="99" spans="2:20">
      <c r="B99" s="8" t="s">
        <v>255</v>
      </c>
      <c r="C99" s="9">
        <v>30100</v>
      </c>
      <c r="D99" s="10">
        <v>332.6</v>
      </c>
      <c r="E99" s="9">
        <v>16907</v>
      </c>
      <c r="F99" s="10">
        <v>186.8</v>
      </c>
      <c r="G99" s="9">
        <v>5631</v>
      </c>
      <c r="H99" s="10">
        <v>62.2</v>
      </c>
      <c r="I99" s="9">
        <v>3049</v>
      </c>
      <c r="J99" s="10">
        <v>33.700000000000003</v>
      </c>
      <c r="K99" s="9">
        <v>1630</v>
      </c>
      <c r="L99" s="10">
        <v>18</v>
      </c>
      <c r="M99" s="9">
        <v>1476</v>
      </c>
      <c r="N99" s="10">
        <v>16.3</v>
      </c>
      <c r="O99" s="9">
        <v>2018</v>
      </c>
      <c r="P99" s="10">
        <v>22.3</v>
      </c>
      <c r="Q99" s="9">
        <v>1194</v>
      </c>
      <c r="R99" s="10">
        <v>13.2</v>
      </c>
      <c r="S99" s="9">
        <v>1142</v>
      </c>
      <c r="T99" s="10">
        <v>12.6</v>
      </c>
    </row>
    <row r="100" spans="2:20">
      <c r="B100" s="8" t="s">
        <v>256</v>
      </c>
      <c r="C100" s="9">
        <v>30618</v>
      </c>
      <c r="D100" s="10">
        <v>337.3</v>
      </c>
      <c r="E100" s="9">
        <v>17281</v>
      </c>
      <c r="F100" s="10">
        <v>190.4</v>
      </c>
      <c r="G100" s="9">
        <v>5528</v>
      </c>
      <c r="H100" s="10">
        <v>60.9</v>
      </c>
      <c r="I100" s="9">
        <v>3228</v>
      </c>
      <c r="J100" s="10">
        <v>35.6</v>
      </c>
      <c r="K100" s="9">
        <v>1676</v>
      </c>
      <c r="L100" s="10">
        <v>18.5</v>
      </c>
      <c r="M100" s="9">
        <v>1387</v>
      </c>
      <c r="N100" s="10">
        <v>15.3</v>
      </c>
      <c r="O100" s="9">
        <v>2193</v>
      </c>
      <c r="P100" s="10">
        <v>24.2</v>
      </c>
      <c r="Q100" s="9">
        <v>1256</v>
      </c>
      <c r="R100" s="10">
        <v>13.8</v>
      </c>
      <c r="S100" s="9">
        <v>1173</v>
      </c>
      <c r="T100" s="10">
        <v>12.9</v>
      </c>
    </row>
    <row r="101" spans="2:20">
      <c r="B101" s="8" t="s">
        <v>257</v>
      </c>
      <c r="C101" s="9">
        <v>31270</v>
      </c>
      <c r="D101" s="10">
        <v>342.6</v>
      </c>
      <c r="E101" s="9">
        <v>17321</v>
      </c>
      <c r="F101" s="10">
        <v>189.8</v>
      </c>
      <c r="G101" s="9">
        <v>5421</v>
      </c>
      <c r="H101" s="10">
        <v>59.4</v>
      </c>
      <c r="I101" s="9">
        <v>3202</v>
      </c>
      <c r="J101" s="10">
        <v>35.1</v>
      </c>
      <c r="K101" s="9">
        <v>1736</v>
      </c>
      <c r="L101" s="10">
        <v>19</v>
      </c>
      <c r="M101" s="9">
        <v>1494</v>
      </c>
      <c r="N101" s="10">
        <v>16.399999999999999</v>
      </c>
      <c r="O101" s="9">
        <v>2513</v>
      </c>
      <c r="P101" s="10">
        <v>27.5</v>
      </c>
      <c r="Q101" s="9">
        <v>1120</v>
      </c>
      <c r="R101" s="10">
        <v>12.3</v>
      </c>
      <c r="S101" s="9">
        <v>1214</v>
      </c>
      <c r="T101" s="10">
        <v>13.3</v>
      </c>
    </row>
    <row r="102" spans="2:20">
      <c r="B102" s="8" t="s">
        <v>258</v>
      </c>
      <c r="C102" s="9">
        <v>30521</v>
      </c>
      <c r="D102" s="10">
        <v>332.2</v>
      </c>
      <c r="E102" s="9">
        <v>17669</v>
      </c>
      <c r="F102" s="10">
        <v>192.3</v>
      </c>
      <c r="G102" s="9">
        <v>5481</v>
      </c>
      <c r="H102" s="10">
        <v>59.7</v>
      </c>
      <c r="I102" s="9">
        <v>3143</v>
      </c>
      <c r="J102" s="10">
        <v>34.200000000000003</v>
      </c>
      <c r="K102" s="9">
        <v>1725</v>
      </c>
      <c r="L102" s="10">
        <v>18.8</v>
      </c>
      <c r="M102" s="9">
        <v>1479</v>
      </c>
      <c r="N102" s="10">
        <v>16.100000000000001</v>
      </c>
      <c r="O102" s="9">
        <v>2377</v>
      </c>
      <c r="P102" s="10">
        <v>25.9</v>
      </c>
      <c r="Q102" s="9">
        <v>1099</v>
      </c>
      <c r="R102" s="10">
        <v>12</v>
      </c>
      <c r="S102" s="9">
        <v>1168</v>
      </c>
      <c r="T102" s="10">
        <v>12.7</v>
      </c>
    </row>
    <row r="103" spans="2:20">
      <c r="B103" s="8" t="s">
        <v>259</v>
      </c>
      <c r="C103" s="9">
        <v>30218</v>
      </c>
      <c r="D103" s="10">
        <v>327.8</v>
      </c>
      <c r="E103" s="9">
        <v>17890</v>
      </c>
      <c r="F103" s="10">
        <v>194.1</v>
      </c>
      <c r="G103" s="9">
        <v>5237</v>
      </c>
      <c r="H103" s="10">
        <v>56.8</v>
      </c>
      <c r="I103" s="9">
        <v>3237</v>
      </c>
      <c r="J103" s="10">
        <v>35.1</v>
      </c>
      <c r="K103" s="9">
        <v>1806</v>
      </c>
      <c r="L103" s="10">
        <v>19.600000000000001</v>
      </c>
      <c r="M103" s="9">
        <v>1522</v>
      </c>
      <c r="N103" s="10">
        <v>16.5</v>
      </c>
      <c r="O103" s="9">
        <v>2626</v>
      </c>
      <c r="P103" s="10">
        <v>28.5</v>
      </c>
      <c r="Q103" s="9">
        <v>1080</v>
      </c>
      <c r="R103" s="10">
        <v>11.7</v>
      </c>
      <c r="S103" s="9">
        <v>1187</v>
      </c>
      <c r="T103" s="10">
        <v>12.9</v>
      </c>
    </row>
    <row r="104" spans="2:20">
      <c r="B104" s="8" t="s">
        <v>260</v>
      </c>
      <c r="C104" s="9">
        <v>28031</v>
      </c>
      <c r="D104" s="10">
        <v>302.89999999999998</v>
      </c>
      <c r="E104" s="9">
        <v>18264</v>
      </c>
      <c r="F104" s="10">
        <v>197.4</v>
      </c>
      <c r="G104" s="9">
        <v>5173</v>
      </c>
      <c r="H104" s="10">
        <v>55.9</v>
      </c>
      <c r="I104" s="9">
        <v>3228</v>
      </c>
      <c r="J104" s="10">
        <v>34.9</v>
      </c>
      <c r="K104" s="9">
        <v>1750</v>
      </c>
      <c r="L104" s="10">
        <v>18.899999999999999</v>
      </c>
      <c r="M104" s="9">
        <v>2052</v>
      </c>
      <c r="N104" s="10">
        <v>22.2</v>
      </c>
      <c r="O104" s="9">
        <v>2633</v>
      </c>
      <c r="P104" s="10">
        <v>28.5</v>
      </c>
      <c r="Q104" s="9">
        <v>1170</v>
      </c>
      <c r="R104" s="10">
        <v>12.6</v>
      </c>
      <c r="S104" s="9">
        <v>832</v>
      </c>
      <c r="T104" s="10">
        <v>9</v>
      </c>
    </row>
    <row r="105" spans="2:20">
      <c r="B105" s="11"/>
      <c r="C105" s="9"/>
      <c r="D105" s="13"/>
      <c r="E105" s="9"/>
      <c r="F105" s="13"/>
      <c r="G105" s="9"/>
      <c r="H105" s="13"/>
      <c r="I105" s="9"/>
      <c r="J105" s="13"/>
      <c r="K105" s="9"/>
      <c r="L105" s="13"/>
      <c r="M105" s="9"/>
      <c r="N105" s="13"/>
      <c r="O105" s="9"/>
      <c r="P105" s="13"/>
      <c r="Q105" s="9"/>
      <c r="R105" s="13"/>
      <c r="S105" s="9"/>
      <c r="T105" s="13"/>
    </row>
    <row r="106" spans="2:20">
      <c r="B106" s="8" t="s">
        <v>167</v>
      </c>
      <c r="C106" s="9">
        <v>27527</v>
      </c>
      <c r="D106" s="10">
        <v>295.7</v>
      </c>
      <c r="E106" s="9">
        <v>18413</v>
      </c>
      <c r="F106" s="10">
        <v>197.8</v>
      </c>
      <c r="G106" s="9">
        <v>5090</v>
      </c>
      <c r="H106" s="10">
        <v>54.7</v>
      </c>
      <c r="I106" s="9">
        <v>3137</v>
      </c>
      <c r="J106" s="10">
        <v>33.700000000000003</v>
      </c>
      <c r="K106" s="9">
        <v>1669</v>
      </c>
      <c r="L106" s="10">
        <v>17.899999999999999</v>
      </c>
      <c r="M106" s="9">
        <v>2009</v>
      </c>
      <c r="N106" s="10">
        <v>21.6</v>
      </c>
      <c r="O106" s="9">
        <v>2863</v>
      </c>
      <c r="P106" s="10">
        <v>30.8</v>
      </c>
      <c r="Q106" s="9">
        <v>1123</v>
      </c>
      <c r="R106" s="10">
        <v>12.1</v>
      </c>
      <c r="S106" s="9">
        <v>807</v>
      </c>
      <c r="T106" s="10">
        <v>8.6999999999999993</v>
      </c>
    </row>
    <row r="107" spans="2:20">
      <c r="B107" s="8" t="s">
        <v>168</v>
      </c>
      <c r="C107" s="9">
        <v>27517</v>
      </c>
      <c r="D107" s="10">
        <v>292.89999999999998</v>
      </c>
      <c r="E107" s="9">
        <v>19204</v>
      </c>
      <c r="F107" s="10">
        <v>204.4</v>
      </c>
      <c r="G107" s="9">
        <v>5165</v>
      </c>
      <c r="H107" s="10">
        <v>55</v>
      </c>
      <c r="I107" s="9">
        <v>3011</v>
      </c>
      <c r="J107" s="10">
        <v>32</v>
      </c>
      <c r="K107" s="9">
        <v>1494</v>
      </c>
      <c r="L107" s="10">
        <v>15.9</v>
      </c>
      <c r="M107" s="9">
        <v>2095</v>
      </c>
      <c r="N107" s="10">
        <v>22.3</v>
      </c>
      <c r="O107" s="9">
        <v>2773</v>
      </c>
      <c r="P107" s="10">
        <v>29.5</v>
      </c>
      <c r="Q107" s="9">
        <v>1060</v>
      </c>
      <c r="R107" s="10">
        <v>11.3</v>
      </c>
      <c r="S107" s="9">
        <v>823</v>
      </c>
      <c r="T107" s="10">
        <v>8.8000000000000007</v>
      </c>
    </row>
    <row r="108" spans="2:20">
      <c r="B108" s="8" t="s">
        <v>169</v>
      </c>
      <c r="C108" s="9">
        <v>26863</v>
      </c>
      <c r="D108" s="10">
        <v>283.7</v>
      </c>
      <c r="E108" s="9">
        <v>19217</v>
      </c>
      <c r="F108" s="10">
        <v>202.9</v>
      </c>
      <c r="G108" s="9">
        <v>5087</v>
      </c>
      <c r="H108" s="10">
        <v>53.7</v>
      </c>
      <c r="I108" s="9">
        <v>2844</v>
      </c>
      <c r="J108" s="10">
        <v>30</v>
      </c>
      <c r="K108" s="9">
        <v>1426</v>
      </c>
      <c r="L108" s="10">
        <v>15.1</v>
      </c>
      <c r="M108" s="9">
        <v>2114</v>
      </c>
      <c r="N108" s="10">
        <v>22.3</v>
      </c>
      <c r="O108" s="9">
        <v>2697</v>
      </c>
      <c r="P108" s="10">
        <v>28.5</v>
      </c>
      <c r="Q108" s="9">
        <v>947</v>
      </c>
      <c r="R108" s="10">
        <v>10</v>
      </c>
      <c r="S108" s="9">
        <v>774</v>
      </c>
      <c r="T108" s="10">
        <v>8.1999999999999993</v>
      </c>
    </row>
    <row r="109" spans="2:20">
      <c r="B109" s="8" t="s">
        <v>170</v>
      </c>
      <c r="C109" s="9">
        <v>28512</v>
      </c>
      <c r="D109" s="10">
        <v>299.2</v>
      </c>
      <c r="E109" s="9">
        <v>19187</v>
      </c>
      <c r="F109" s="10">
        <v>201.3</v>
      </c>
      <c r="G109" s="9">
        <v>5299</v>
      </c>
      <c r="H109" s="10">
        <v>55.6</v>
      </c>
      <c r="I109" s="9">
        <v>2830</v>
      </c>
      <c r="J109" s="10">
        <v>29.7</v>
      </c>
      <c r="K109" s="9">
        <v>1438</v>
      </c>
      <c r="L109" s="10">
        <v>15.1</v>
      </c>
      <c r="M109" s="9">
        <v>2105</v>
      </c>
      <c r="N109" s="10">
        <v>22.1</v>
      </c>
      <c r="O109" s="9">
        <v>2981</v>
      </c>
      <c r="P109" s="10">
        <v>31.3</v>
      </c>
      <c r="Q109" s="9">
        <v>1006</v>
      </c>
      <c r="R109" s="10">
        <v>10.6</v>
      </c>
      <c r="S109" s="9">
        <v>753</v>
      </c>
      <c r="T109" s="10">
        <v>7.9</v>
      </c>
    </row>
    <row r="110" spans="2:20">
      <c r="B110" s="8">
        <v>1994</v>
      </c>
      <c r="C110" s="9">
        <v>28195</v>
      </c>
      <c r="D110" s="10">
        <v>294.2</v>
      </c>
      <c r="E110" s="9">
        <v>19410</v>
      </c>
      <c r="F110" s="10">
        <v>202.5</v>
      </c>
      <c r="G110" s="9">
        <v>5680</v>
      </c>
      <c r="H110" s="10">
        <v>59.3</v>
      </c>
      <c r="I110" s="9">
        <v>2928</v>
      </c>
      <c r="J110" s="10">
        <v>30.5</v>
      </c>
      <c r="K110" s="9">
        <v>1445</v>
      </c>
      <c r="L110" s="10">
        <v>15.1</v>
      </c>
      <c r="M110" s="9">
        <v>2224</v>
      </c>
      <c r="N110" s="10">
        <v>23.2</v>
      </c>
      <c r="O110" s="9">
        <v>2877</v>
      </c>
      <c r="P110" s="10">
        <v>30</v>
      </c>
      <c r="Q110" s="9">
        <v>1035</v>
      </c>
      <c r="R110" s="10">
        <v>10.8</v>
      </c>
      <c r="S110" s="9">
        <v>805</v>
      </c>
      <c r="T110" s="10">
        <v>8.4</v>
      </c>
    </row>
    <row r="111" spans="2:20" s="14" customFormat="1">
      <c r="B111" s="8">
        <v>1995</v>
      </c>
      <c r="C111" s="9">
        <v>28007</v>
      </c>
      <c r="D111" s="10">
        <v>289.89999999999998</v>
      </c>
      <c r="E111" s="9">
        <v>19442</v>
      </c>
      <c r="F111" s="10">
        <v>201.3</v>
      </c>
      <c r="G111" s="9">
        <v>5857</v>
      </c>
      <c r="H111" s="10">
        <v>60.6</v>
      </c>
      <c r="I111" s="9">
        <v>3137</v>
      </c>
      <c r="J111" s="10">
        <v>32.5</v>
      </c>
      <c r="K111" s="9">
        <v>1601</v>
      </c>
      <c r="L111" s="10">
        <v>16.600000000000001</v>
      </c>
      <c r="M111" s="9">
        <v>2247</v>
      </c>
      <c r="N111" s="10">
        <v>23.3</v>
      </c>
      <c r="O111" s="9">
        <v>3002</v>
      </c>
      <c r="P111" s="10">
        <v>31.1</v>
      </c>
      <c r="Q111" s="9">
        <v>1002</v>
      </c>
      <c r="R111" s="10">
        <v>10.4</v>
      </c>
      <c r="S111" s="9">
        <v>754</v>
      </c>
      <c r="T111" s="10">
        <v>7.8</v>
      </c>
    </row>
    <row r="112" spans="2:20">
      <c r="B112" s="8">
        <v>1996</v>
      </c>
      <c r="C112" s="9">
        <v>27980</v>
      </c>
      <c r="D112" s="10">
        <v>287.3</v>
      </c>
      <c r="E112" s="9">
        <v>19563</v>
      </c>
      <c r="F112" s="10">
        <v>200.9</v>
      </c>
      <c r="G112" s="9">
        <v>5748</v>
      </c>
      <c r="H112" s="10">
        <v>59</v>
      </c>
      <c r="I112" s="9">
        <v>3062</v>
      </c>
      <c r="J112" s="10">
        <v>31.4</v>
      </c>
      <c r="K112" s="9">
        <v>1577</v>
      </c>
      <c r="L112" s="10">
        <v>16.2</v>
      </c>
      <c r="M112" s="9">
        <v>2348</v>
      </c>
      <c r="N112" s="10">
        <v>24.1</v>
      </c>
      <c r="O112" s="9">
        <v>3010</v>
      </c>
      <c r="P112" s="10">
        <v>30.9</v>
      </c>
      <c r="Q112" s="9">
        <v>968</v>
      </c>
      <c r="R112" s="10">
        <v>9.9</v>
      </c>
      <c r="S112" s="9">
        <v>760</v>
      </c>
      <c r="T112" s="10">
        <v>7.8</v>
      </c>
    </row>
    <row r="113" spans="2:20">
      <c r="B113" s="8">
        <v>1997</v>
      </c>
      <c r="C113" s="9">
        <v>27150</v>
      </c>
      <c r="D113" s="10">
        <v>277.5</v>
      </c>
      <c r="E113" s="9">
        <v>19504</v>
      </c>
      <c r="F113" s="10">
        <v>199.3</v>
      </c>
      <c r="G113" s="9">
        <v>5725</v>
      </c>
      <c r="H113" s="10">
        <v>58.5</v>
      </c>
      <c r="I113" s="9">
        <v>3118</v>
      </c>
      <c r="J113" s="10">
        <v>31.9</v>
      </c>
      <c r="K113" s="9">
        <v>1507</v>
      </c>
      <c r="L113" s="10">
        <v>15.4</v>
      </c>
      <c r="M113" s="9">
        <v>2435</v>
      </c>
      <c r="N113" s="10">
        <v>24.9</v>
      </c>
      <c r="O113" s="9">
        <v>2813</v>
      </c>
      <c r="P113" s="10">
        <v>28.7</v>
      </c>
      <c r="Q113" s="9">
        <v>966</v>
      </c>
      <c r="R113" s="10">
        <v>9.9</v>
      </c>
      <c r="S113" s="9">
        <v>697</v>
      </c>
      <c r="T113" s="10">
        <v>7.1</v>
      </c>
    </row>
    <row r="114" spans="2:20">
      <c r="B114" s="8">
        <v>1998</v>
      </c>
      <c r="C114" s="9">
        <v>27851</v>
      </c>
      <c r="D114" s="10">
        <v>283.60000000000002</v>
      </c>
      <c r="E114" s="9">
        <v>19442</v>
      </c>
      <c r="F114" s="10">
        <v>198</v>
      </c>
      <c r="G114" s="9">
        <v>5760</v>
      </c>
      <c r="H114" s="10">
        <v>58.7</v>
      </c>
      <c r="I114" s="9">
        <v>3098</v>
      </c>
      <c r="J114" s="10">
        <v>31.5</v>
      </c>
      <c r="K114" s="9">
        <v>1450</v>
      </c>
      <c r="L114" s="10">
        <v>14.8</v>
      </c>
      <c r="M114" s="9">
        <v>2449</v>
      </c>
      <c r="N114" s="10">
        <v>24.9</v>
      </c>
      <c r="O114" s="9">
        <v>3096</v>
      </c>
      <c r="P114" s="10">
        <v>31.5</v>
      </c>
      <c r="Q114" s="9">
        <v>981</v>
      </c>
      <c r="R114" s="10">
        <v>10</v>
      </c>
      <c r="S114" s="9">
        <v>653</v>
      </c>
      <c r="T114" s="10">
        <v>6.6</v>
      </c>
    </row>
    <row r="115" spans="2:20">
      <c r="B115" s="8">
        <v>1999</v>
      </c>
      <c r="C115" s="9">
        <v>27540</v>
      </c>
      <c r="D115" s="10">
        <v>279.2</v>
      </c>
      <c r="E115" s="9">
        <v>19673</v>
      </c>
      <c r="F115" s="10">
        <v>199.4</v>
      </c>
      <c r="G115" s="9">
        <v>6020</v>
      </c>
      <c r="H115" s="10">
        <v>61</v>
      </c>
      <c r="I115" s="9">
        <v>3151</v>
      </c>
      <c r="J115" s="10">
        <v>31.9</v>
      </c>
      <c r="K115" s="9">
        <v>1500</v>
      </c>
      <c r="L115" s="10">
        <v>15.2</v>
      </c>
      <c r="M115" s="9">
        <v>2570</v>
      </c>
      <c r="N115" s="10">
        <v>26.1</v>
      </c>
      <c r="O115" s="9">
        <v>2292</v>
      </c>
      <c r="P115" s="10">
        <v>23.2</v>
      </c>
      <c r="Q115" s="9">
        <v>1022</v>
      </c>
      <c r="R115" s="10">
        <v>10.4</v>
      </c>
      <c r="S115" s="9">
        <v>579</v>
      </c>
      <c r="T115" s="10">
        <v>5.9</v>
      </c>
    </row>
    <row r="116" spans="2:20">
      <c r="B116" s="8"/>
      <c r="C116" s="9"/>
      <c r="D116" s="10"/>
      <c r="E116" s="9"/>
      <c r="F116" s="10"/>
      <c r="G116" s="9"/>
      <c r="H116" s="10"/>
      <c r="I116" s="9"/>
      <c r="J116" s="10"/>
      <c r="K116" s="9"/>
      <c r="L116" s="10"/>
      <c r="M116" s="9"/>
      <c r="N116" s="10"/>
      <c r="O116" s="9"/>
      <c r="P116" s="10"/>
      <c r="Q116" s="9"/>
      <c r="R116" s="10"/>
      <c r="S116" s="9"/>
      <c r="T116" s="10"/>
    </row>
    <row r="117" spans="2:20">
      <c r="B117" s="8">
        <v>2000</v>
      </c>
      <c r="C117" s="9">
        <v>27474</v>
      </c>
      <c r="D117" s="10">
        <v>274.89999999999998</v>
      </c>
      <c r="E117" s="9">
        <v>19764</v>
      </c>
      <c r="F117" s="10">
        <v>197.8</v>
      </c>
      <c r="G117" s="9">
        <v>5789</v>
      </c>
      <c r="H117" s="10">
        <v>57.9</v>
      </c>
      <c r="I117" s="9">
        <v>3243</v>
      </c>
      <c r="J117" s="10">
        <v>32.4</v>
      </c>
      <c r="K117" s="9">
        <v>1490</v>
      </c>
      <c r="L117" s="10">
        <v>14.9</v>
      </c>
      <c r="M117" s="9">
        <v>2612</v>
      </c>
      <c r="N117" s="10">
        <v>26.1</v>
      </c>
      <c r="O117" s="9">
        <v>1840</v>
      </c>
      <c r="P117" s="10">
        <v>18.399999999999999</v>
      </c>
      <c r="Q117" s="9">
        <v>1030</v>
      </c>
      <c r="R117" s="10">
        <v>10.3</v>
      </c>
      <c r="S117" s="9">
        <v>669</v>
      </c>
      <c r="T117" s="10">
        <v>6.7</v>
      </c>
    </row>
    <row r="118" spans="2:20">
      <c r="B118" s="8">
        <v>2001</v>
      </c>
      <c r="C118" s="9">
        <v>26766</v>
      </c>
      <c r="D118" s="10">
        <v>266</v>
      </c>
      <c r="E118" s="9">
        <v>19608</v>
      </c>
      <c r="F118" s="10">
        <v>194.9</v>
      </c>
      <c r="G118" s="9">
        <v>5666</v>
      </c>
      <c r="H118" s="10">
        <v>56.3</v>
      </c>
      <c r="I118" s="9">
        <v>2447</v>
      </c>
      <c r="J118" s="10">
        <v>24.3</v>
      </c>
      <c r="K118" s="9">
        <v>1350</v>
      </c>
      <c r="L118" s="10">
        <v>13.4</v>
      </c>
      <c r="M118" s="9">
        <v>2640</v>
      </c>
      <c r="N118" s="10">
        <v>26.2</v>
      </c>
      <c r="O118" s="9">
        <v>2064</v>
      </c>
      <c r="P118" s="10">
        <v>20.5</v>
      </c>
      <c r="Q118" s="9">
        <v>1054</v>
      </c>
      <c r="R118" s="10">
        <v>10.5</v>
      </c>
      <c r="S118" s="9">
        <v>616</v>
      </c>
      <c r="T118" s="10">
        <v>6.1</v>
      </c>
    </row>
    <row r="119" spans="2:20">
      <c r="B119" s="8">
        <v>2002</v>
      </c>
      <c r="C119" s="9">
        <v>26447</v>
      </c>
      <c r="D119" s="10">
        <v>262</v>
      </c>
      <c r="E119" s="9">
        <v>19831</v>
      </c>
      <c r="F119" s="10">
        <v>196.4</v>
      </c>
      <c r="G119" s="9">
        <v>5740</v>
      </c>
      <c r="H119" s="10">
        <v>56.9</v>
      </c>
      <c r="I119" s="9">
        <v>3242</v>
      </c>
      <c r="J119" s="10">
        <v>32.1</v>
      </c>
      <c r="K119" s="9">
        <v>1323</v>
      </c>
      <c r="L119" s="10">
        <v>13.1</v>
      </c>
      <c r="M119" s="9">
        <v>2753</v>
      </c>
      <c r="N119" s="10">
        <v>27.3</v>
      </c>
      <c r="O119" s="9">
        <v>2007</v>
      </c>
      <c r="P119" s="10">
        <v>19.899999999999999</v>
      </c>
      <c r="Q119" s="9">
        <v>975</v>
      </c>
      <c r="R119" s="10">
        <v>9.6999999999999993</v>
      </c>
      <c r="S119" s="9">
        <v>564</v>
      </c>
      <c r="T119" s="10">
        <v>5.6</v>
      </c>
    </row>
    <row r="120" spans="2:20">
      <c r="B120" s="8">
        <v>2003</v>
      </c>
      <c r="C120" s="9">
        <v>25845</v>
      </c>
      <c r="D120" s="10">
        <v>255.3</v>
      </c>
      <c r="E120" s="9">
        <v>19574</v>
      </c>
      <c r="F120" s="10">
        <v>193.3</v>
      </c>
      <c r="G120" s="9">
        <v>5412</v>
      </c>
      <c r="H120" s="10">
        <v>53.5</v>
      </c>
      <c r="I120" s="9">
        <v>3278</v>
      </c>
      <c r="J120" s="10">
        <v>32.4</v>
      </c>
      <c r="K120" s="9">
        <v>1369</v>
      </c>
      <c r="L120" s="10">
        <v>13.5</v>
      </c>
      <c r="M120" s="9">
        <v>2620</v>
      </c>
      <c r="N120" s="10">
        <v>25.9</v>
      </c>
      <c r="O120" s="9">
        <v>1932</v>
      </c>
      <c r="P120" s="10">
        <v>19.100000000000001</v>
      </c>
      <c r="Q120" s="9">
        <v>991</v>
      </c>
      <c r="R120" s="10">
        <v>9.8000000000000007</v>
      </c>
      <c r="S120" s="9">
        <v>516</v>
      </c>
      <c r="T120" s="10">
        <v>5.0999999999999996</v>
      </c>
    </row>
    <row r="121" spans="2:20">
      <c r="B121" s="8">
        <v>2004</v>
      </c>
      <c r="C121" s="9">
        <v>24804</v>
      </c>
      <c r="D121" s="10">
        <v>243.9</v>
      </c>
      <c r="E121" s="9">
        <v>19654</v>
      </c>
      <c r="F121" s="10">
        <v>193.3</v>
      </c>
      <c r="G121" s="9">
        <v>5282</v>
      </c>
      <c r="H121" s="10">
        <v>51.9</v>
      </c>
      <c r="I121" s="9">
        <v>3299</v>
      </c>
      <c r="J121" s="10">
        <v>32.4</v>
      </c>
      <c r="K121" s="9">
        <v>1297</v>
      </c>
      <c r="L121" s="10">
        <v>12.8</v>
      </c>
      <c r="M121" s="9">
        <v>2954</v>
      </c>
      <c r="N121" s="10">
        <v>29</v>
      </c>
      <c r="O121" s="9">
        <v>1959</v>
      </c>
      <c r="P121" s="10">
        <v>19.3</v>
      </c>
      <c r="Q121" s="9">
        <v>972</v>
      </c>
      <c r="R121" s="10">
        <v>9.6</v>
      </c>
      <c r="S121" s="9">
        <v>500</v>
      </c>
      <c r="T121" s="10">
        <v>4.9000000000000004</v>
      </c>
    </row>
    <row r="122" spans="2:20">
      <c r="B122" s="8">
        <v>2005</v>
      </c>
      <c r="C122" s="9">
        <v>25098</v>
      </c>
      <c r="D122" s="10">
        <v>247</v>
      </c>
      <c r="E122" s="9">
        <v>20077</v>
      </c>
      <c r="F122" s="10">
        <v>197.6</v>
      </c>
      <c r="G122" s="9">
        <v>5049</v>
      </c>
      <c r="H122" s="10">
        <v>49.7</v>
      </c>
      <c r="I122" s="9">
        <v>3426</v>
      </c>
      <c r="J122" s="10">
        <v>33.700000000000003</v>
      </c>
      <c r="K122" s="9">
        <v>1221</v>
      </c>
      <c r="L122" s="10">
        <v>12</v>
      </c>
      <c r="M122" s="9">
        <v>2846</v>
      </c>
      <c r="N122" s="10">
        <v>28</v>
      </c>
      <c r="O122" s="9">
        <v>1955</v>
      </c>
      <c r="P122" s="10">
        <v>19.2</v>
      </c>
      <c r="Q122" s="9">
        <v>1013</v>
      </c>
      <c r="R122" s="10">
        <v>10</v>
      </c>
      <c r="S122" s="9">
        <v>470</v>
      </c>
      <c r="T122" s="10">
        <v>4.5999999999999996</v>
      </c>
    </row>
    <row r="123" spans="2:20">
      <c r="B123" s="8">
        <v>2006</v>
      </c>
      <c r="C123" s="9">
        <v>24223</v>
      </c>
      <c r="D123" s="10">
        <v>238.5</v>
      </c>
      <c r="E123" s="9">
        <v>20166</v>
      </c>
      <c r="F123" s="10">
        <v>198.5</v>
      </c>
      <c r="G123" s="9">
        <v>4746</v>
      </c>
      <c r="H123" s="10">
        <v>46.7</v>
      </c>
      <c r="I123" s="9">
        <v>3557</v>
      </c>
      <c r="J123" s="10">
        <v>35</v>
      </c>
      <c r="K123" s="9">
        <v>1152</v>
      </c>
      <c r="L123" s="10">
        <v>11.3</v>
      </c>
      <c r="M123" s="9">
        <v>2823</v>
      </c>
      <c r="N123" s="10">
        <v>27.8</v>
      </c>
      <c r="O123" s="9">
        <v>1673</v>
      </c>
      <c r="P123" s="10">
        <v>16.5</v>
      </c>
      <c r="Q123" s="9">
        <v>980</v>
      </c>
      <c r="R123" s="10">
        <v>9.6</v>
      </c>
      <c r="S123" s="9">
        <v>384</v>
      </c>
      <c r="T123" s="10">
        <v>3.8</v>
      </c>
    </row>
    <row r="124" spans="2:20">
      <c r="B124" s="8">
        <v>2007</v>
      </c>
      <c r="C124" s="9">
        <v>24259</v>
      </c>
      <c r="D124" s="10">
        <v>240.3</v>
      </c>
      <c r="E124" s="9">
        <v>20060</v>
      </c>
      <c r="F124" s="10">
        <v>198.7</v>
      </c>
      <c r="G124" s="9">
        <v>4638</v>
      </c>
      <c r="H124" s="10">
        <v>45.9</v>
      </c>
      <c r="I124" s="9">
        <v>3714</v>
      </c>
      <c r="J124" s="10">
        <v>36.799999999999997</v>
      </c>
      <c r="K124" s="9">
        <v>1195</v>
      </c>
      <c r="L124" s="10">
        <v>11.8</v>
      </c>
      <c r="M124" s="9">
        <v>2825</v>
      </c>
      <c r="N124" s="10">
        <v>28</v>
      </c>
      <c r="O124" s="9">
        <v>1633</v>
      </c>
      <c r="P124" s="10">
        <v>16.2</v>
      </c>
      <c r="Q124" s="9">
        <v>1007</v>
      </c>
      <c r="R124" s="10">
        <v>10</v>
      </c>
      <c r="S124" s="9">
        <v>372</v>
      </c>
      <c r="T124" s="10">
        <v>3.7</v>
      </c>
    </row>
    <row r="125" spans="2:20">
      <c r="B125" s="8">
        <v>2008</v>
      </c>
      <c r="C125" s="9">
        <v>24369</v>
      </c>
      <c r="D125" s="10">
        <v>243.2</v>
      </c>
      <c r="E125" s="9">
        <v>20159</v>
      </c>
      <c r="F125" s="10">
        <v>201.2</v>
      </c>
      <c r="G125" s="9">
        <v>4650</v>
      </c>
      <c r="H125" s="10">
        <v>46.4</v>
      </c>
      <c r="I125" s="9">
        <v>3679</v>
      </c>
      <c r="J125" s="10">
        <v>36.700000000000003</v>
      </c>
      <c r="K125" s="9">
        <v>1095</v>
      </c>
      <c r="L125" s="10">
        <v>10.9</v>
      </c>
      <c r="M125" s="9">
        <v>2749</v>
      </c>
      <c r="N125" s="10">
        <v>27.4</v>
      </c>
      <c r="O125" s="9">
        <v>1875</v>
      </c>
      <c r="P125" s="10">
        <v>18.7</v>
      </c>
      <c r="Q125" s="9">
        <v>1080</v>
      </c>
      <c r="R125" s="10">
        <v>10.8</v>
      </c>
      <c r="S125" s="9">
        <v>340</v>
      </c>
      <c r="T125" s="10">
        <v>3.4</v>
      </c>
    </row>
    <row r="126" spans="2:20">
      <c r="B126" s="8">
        <v>2009</v>
      </c>
      <c r="C126" s="9">
        <v>23044</v>
      </c>
      <c r="D126" s="10">
        <v>231.9</v>
      </c>
      <c r="E126" s="9">
        <v>20174</v>
      </c>
      <c r="F126" s="10">
        <v>203</v>
      </c>
      <c r="G126" s="9">
        <v>4415</v>
      </c>
      <c r="H126" s="10">
        <v>44.4</v>
      </c>
      <c r="I126" s="9">
        <v>3671</v>
      </c>
      <c r="J126" s="10">
        <v>36.9</v>
      </c>
      <c r="K126" s="9">
        <v>956</v>
      </c>
      <c r="L126" s="10">
        <v>9.6</v>
      </c>
      <c r="M126" s="9">
        <v>2689</v>
      </c>
      <c r="N126" s="10">
        <v>27.1</v>
      </c>
      <c r="O126" s="9">
        <v>1540</v>
      </c>
      <c r="P126" s="10">
        <v>15.5</v>
      </c>
      <c r="Q126" s="9">
        <v>1071</v>
      </c>
      <c r="R126" s="10">
        <v>10.8</v>
      </c>
      <c r="S126" s="9">
        <v>321</v>
      </c>
      <c r="T126" s="10">
        <v>3.2</v>
      </c>
    </row>
    <row r="127" spans="2:20">
      <c r="B127" s="8"/>
      <c r="C127" s="9"/>
      <c r="D127" s="10"/>
      <c r="E127" s="9"/>
      <c r="F127" s="10"/>
      <c r="G127" s="9"/>
      <c r="H127" s="10"/>
      <c r="I127" s="9"/>
      <c r="J127" s="10"/>
      <c r="K127" s="9"/>
      <c r="L127" s="10"/>
      <c r="M127" s="9"/>
      <c r="N127" s="10"/>
      <c r="O127" s="9"/>
      <c r="P127" s="10"/>
      <c r="Q127" s="9"/>
      <c r="R127" s="10"/>
      <c r="S127" s="9"/>
      <c r="T127" s="10"/>
    </row>
    <row r="128" spans="2:20">
      <c r="B128" s="8">
        <v>2010</v>
      </c>
      <c r="C128" s="9">
        <v>23321</v>
      </c>
      <c r="D128" s="10">
        <v>236.1</v>
      </c>
      <c r="E128" s="9">
        <v>20619</v>
      </c>
      <c r="F128" s="10">
        <v>208.7</v>
      </c>
      <c r="G128" s="9">
        <v>4473</v>
      </c>
      <c r="H128" s="10">
        <v>45.3</v>
      </c>
      <c r="I128" s="9">
        <v>3758</v>
      </c>
      <c r="J128" s="10">
        <v>38</v>
      </c>
      <c r="K128" s="9">
        <v>1043</v>
      </c>
      <c r="L128" s="10">
        <v>10.6</v>
      </c>
      <c r="M128" s="9">
        <v>2695</v>
      </c>
      <c r="N128" s="10">
        <v>27.3</v>
      </c>
      <c r="O128" s="9">
        <v>1524</v>
      </c>
      <c r="P128" s="10">
        <v>15.4</v>
      </c>
      <c r="Q128" s="9">
        <v>1130</v>
      </c>
      <c r="R128" s="10">
        <v>11.4</v>
      </c>
      <c r="S128" s="9">
        <v>341</v>
      </c>
      <c r="T128" s="10">
        <v>3.5</v>
      </c>
    </row>
    <row r="129" spans="2:20">
      <c r="B129" s="8">
        <v>2011</v>
      </c>
      <c r="C129" s="9">
        <v>23505</v>
      </c>
      <c r="D129" s="10">
        <v>238</v>
      </c>
      <c r="E129" s="9">
        <v>20355</v>
      </c>
      <c r="F129" s="10">
        <v>206.1</v>
      </c>
      <c r="G129" s="9">
        <v>4451</v>
      </c>
      <c r="H129" s="10">
        <v>45.1</v>
      </c>
      <c r="I129" s="9">
        <v>3890</v>
      </c>
      <c r="J129" s="10">
        <v>39.4</v>
      </c>
      <c r="K129" s="9">
        <v>984</v>
      </c>
      <c r="L129" s="10">
        <v>10</v>
      </c>
      <c r="M129" s="9">
        <v>2771</v>
      </c>
      <c r="N129" s="10">
        <v>28.1</v>
      </c>
      <c r="O129" s="9">
        <v>1691</v>
      </c>
      <c r="P129" s="10">
        <v>17.100000000000001</v>
      </c>
      <c r="Q129" s="9">
        <v>1130</v>
      </c>
      <c r="R129" s="10">
        <v>11.4</v>
      </c>
      <c r="S129" s="9">
        <v>320</v>
      </c>
      <c r="T129" s="10">
        <v>3.2</v>
      </c>
    </row>
    <row r="130" spans="2:20">
      <c r="B130" s="8">
        <v>2012</v>
      </c>
      <c r="C130" s="9">
        <v>23502</v>
      </c>
      <c r="D130" s="10">
        <v>237.8</v>
      </c>
      <c r="E130" s="9">
        <v>20503</v>
      </c>
      <c r="F130" s="10">
        <v>207.4</v>
      </c>
      <c r="G130" s="9">
        <v>4399</v>
      </c>
      <c r="H130" s="10">
        <v>44.5</v>
      </c>
      <c r="I130" s="9">
        <v>3804</v>
      </c>
      <c r="J130" s="10">
        <v>38.5</v>
      </c>
      <c r="K130" s="9">
        <v>1042</v>
      </c>
      <c r="L130" s="10">
        <v>10.5</v>
      </c>
      <c r="M130" s="9">
        <v>2684</v>
      </c>
      <c r="N130" s="10">
        <v>27.2</v>
      </c>
      <c r="O130" s="9">
        <v>1544</v>
      </c>
      <c r="P130" s="10">
        <v>15.6</v>
      </c>
      <c r="Q130" s="9">
        <v>1137</v>
      </c>
      <c r="R130" s="10">
        <v>11.5</v>
      </c>
      <c r="S130" s="9">
        <v>340</v>
      </c>
      <c r="T130" s="10">
        <v>3.4</v>
      </c>
    </row>
    <row r="131" spans="2:20">
      <c r="B131" s="8">
        <v>2013</v>
      </c>
      <c r="C131" s="9">
        <v>24143</v>
      </c>
      <c r="D131" s="10">
        <v>199.7</v>
      </c>
      <c r="E131" s="9">
        <v>20395</v>
      </c>
      <c r="F131" s="10">
        <v>170.7</v>
      </c>
      <c r="G131" s="9">
        <v>4365</v>
      </c>
      <c r="H131" s="10">
        <v>36.299999999999997</v>
      </c>
      <c r="I131" s="9">
        <v>4194</v>
      </c>
      <c r="J131" s="10">
        <v>39.700000000000003</v>
      </c>
      <c r="K131" s="9">
        <v>1047</v>
      </c>
      <c r="L131" s="10">
        <v>10.6</v>
      </c>
      <c r="M131" s="9">
        <v>2821</v>
      </c>
      <c r="N131" s="10">
        <v>23.7</v>
      </c>
      <c r="O131" s="9">
        <v>1892</v>
      </c>
      <c r="P131" s="10">
        <v>15.7</v>
      </c>
      <c r="Q131" s="9">
        <v>1174</v>
      </c>
      <c r="R131" s="10">
        <v>10</v>
      </c>
      <c r="S131" s="9">
        <v>345</v>
      </c>
      <c r="T131" s="10">
        <v>2.8</v>
      </c>
    </row>
    <row r="132" spans="2:20">
      <c r="B132" s="6"/>
      <c r="C132" s="15"/>
      <c r="D132" s="67"/>
      <c r="E132" s="15"/>
      <c r="F132" s="67"/>
      <c r="G132" s="15"/>
      <c r="H132" s="67"/>
      <c r="I132" s="15"/>
      <c r="J132" s="67"/>
      <c r="K132" s="15"/>
      <c r="L132" s="67"/>
      <c r="M132" s="15"/>
      <c r="N132" s="67"/>
      <c r="O132" s="15"/>
      <c r="P132" s="67"/>
      <c r="Q132" s="15"/>
      <c r="R132" s="67"/>
      <c r="S132" s="15"/>
      <c r="T132" s="67"/>
    </row>
    <row r="133" spans="2:20" ht="78.75" customHeight="1">
      <c r="B133" s="298" t="s">
        <v>320</v>
      </c>
      <c r="C133" s="299"/>
      <c r="D133" s="299"/>
      <c r="E133" s="299"/>
      <c r="F133" s="299"/>
      <c r="G133" s="299"/>
      <c r="H133" s="299"/>
      <c r="I133" s="299"/>
      <c r="J133" s="299"/>
      <c r="K133" s="299"/>
      <c r="L133" s="299"/>
      <c r="M133" s="299"/>
      <c r="N133" s="299"/>
      <c r="O133" s="299"/>
      <c r="P133" s="299"/>
      <c r="Q133" s="299"/>
      <c r="R133" s="299"/>
      <c r="S133" s="299"/>
      <c r="T133" s="299"/>
    </row>
    <row r="134" spans="2:20" ht="59.25" customHeight="1">
      <c r="B134" s="300" t="s">
        <v>314</v>
      </c>
      <c r="C134" s="301"/>
      <c r="D134" s="301"/>
      <c r="E134" s="301"/>
      <c r="F134" s="301"/>
      <c r="G134" s="301"/>
      <c r="H134" s="301"/>
      <c r="I134" s="301"/>
      <c r="J134" s="301"/>
      <c r="K134" s="301"/>
      <c r="L134" s="301"/>
      <c r="M134" s="301"/>
      <c r="N134" s="301"/>
      <c r="O134" s="301"/>
      <c r="P134" s="301"/>
      <c r="Q134" s="301"/>
      <c r="R134" s="301"/>
      <c r="S134" s="301"/>
      <c r="T134" s="301"/>
    </row>
    <row r="135" spans="2:20" ht="31.5" customHeight="1">
      <c r="B135" s="300" t="s">
        <v>313</v>
      </c>
      <c r="C135" s="301"/>
      <c r="D135" s="301"/>
      <c r="E135" s="301"/>
      <c r="F135" s="301"/>
      <c r="G135" s="301"/>
      <c r="H135" s="301"/>
      <c r="I135" s="301"/>
      <c r="J135" s="301"/>
      <c r="K135" s="301"/>
      <c r="L135" s="301"/>
      <c r="M135" s="301"/>
      <c r="N135" s="301"/>
      <c r="O135" s="301"/>
      <c r="P135" s="301"/>
      <c r="Q135" s="301"/>
      <c r="R135" s="301"/>
      <c r="S135" s="301"/>
      <c r="T135" s="301"/>
    </row>
    <row r="136" spans="2:20" ht="18.75" customHeight="1">
      <c r="B136" s="261" t="s">
        <v>608</v>
      </c>
      <c r="C136" s="262"/>
      <c r="D136" s="262"/>
      <c r="E136" s="262"/>
      <c r="F136" s="262"/>
      <c r="G136" s="262"/>
      <c r="H136" s="262"/>
      <c r="I136" s="262"/>
      <c r="J136" s="262"/>
      <c r="K136" s="262"/>
      <c r="L136" s="262"/>
    </row>
  </sheetData>
  <mergeCells count="13">
    <mergeCell ref="B133:T133"/>
    <mergeCell ref="B134:T134"/>
    <mergeCell ref="B135:T135"/>
    <mergeCell ref="B5:B6"/>
    <mergeCell ref="E5:F5"/>
    <mergeCell ref="C5:D5"/>
    <mergeCell ref="G5:H5"/>
    <mergeCell ref="I5:J5"/>
    <mergeCell ref="K5:L5"/>
    <mergeCell ref="M5:N5"/>
    <mergeCell ref="O5:P5"/>
    <mergeCell ref="Q5:R5"/>
    <mergeCell ref="S5:T5"/>
  </mergeCells>
  <phoneticPr fontId="0" type="noConversion"/>
  <printOptions horizontalCentered="1"/>
  <pageMargins left="0.63" right="0" top="0.5" bottom="0.25" header="0" footer="0"/>
  <pageSetup scale="62"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9"/>
  <sheetViews>
    <sheetView workbookViewId="0"/>
  </sheetViews>
  <sheetFormatPr defaultRowHeight="15"/>
  <cols>
    <col min="1" max="1" width="3.83203125" style="2" customWidth="1"/>
    <col min="2" max="2" width="20.83203125" style="2" customWidth="1"/>
    <col min="3" max="3" width="15.6640625" style="2" bestFit="1" customWidth="1"/>
    <col min="4" max="4" width="11.5" style="2" customWidth="1"/>
    <col min="5" max="5" width="12" style="2" bestFit="1" customWidth="1"/>
    <col min="6" max="10" width="11.5" style="2" customWidth="1"/>
    <col min="11" max="11" width="13" style="2" customWidth="1"/>
    <col min="12" max="12" width="11.5" style="2" customWidth="1"/>
    <col min="13" max="13" width="14.1640625" style="2" customWidth="1"/>
    <col min="14" max="14" width="10.6640625" style="2" customWidth="1"/>
    <col min="15" max="15" width="9.83203125" style="2" customWidth="1"/>
    <col min="16" max="16384" width="9.33203125" style="2"/>
  </cols>
  <sheetData>
    <row r="1" spans="1:15" ht="15.75">
      <c r="A1" s="1"/>
    </row>
    <row r="2" spans="1:15">
      <c r="B2" s="3" t="s">
        <v>322</v>
      </c>
      <c r="C2" s="4"/>
      <c r="D2" s="4"/>
      <c r="E2" s="4"/>
      <c r="F2" s="4"/>
      <c r="G2" s="4"/>
      <c r="H2" s="4"/>
      <c r="I2" s="4"/>
      <c r="J2" s="4"/>
      <c r="K2" s="4"/>
      <c r="L2" s="4"/>
    </row>
    <row r="3" spans="1:15" ht="15.75">
      <c r="B3" s="5" t="s">
        <v>323</v>
      </c>
      <c r="C3" s="4"/>
      <c r="D3" s="4"/>
      <c r="E3" s="4"/>
      <c r="F3" s="4"/>
      <c r="G3" s="4"/>
      <c r="H3" s="4"/>
      <c r="I3" s="4"/>
      <c r="J3" s="4"/>
      <c r="K3" s="4"/>
      <c r="L3" s="4"/>
    </row>
    <row r="4" spans="1:15">
      <c r="B4" s="312" t="s">
        <v>567</v>
      </c>
      <c r="C4" s="312"/>
      <c r="D4" s="312"/>
      <c r="E4" s="312"/>
      <c r="F4" s="312"/>
      <c r="G4" s="312"/>
      <c r="H4" s="312"/>
      <c r="I4" s="312"/>
      <c r="J4" s="312"/>
      <c r="K4" s="312"/>
      <c r="L4" s="312"/>
    </row>
    <row r="5" spans="1:15" ht="60">
      <c r="B5" s="35" t="s">
        <v>324</v>
      </c>
      <c r="C5" s="74" t="s">
        <v>325</v>
      </c>
      <c r="D5" s="74" t="s">
        <v>172</v>
      </c>
      <c r="E5" s="74" t="s">
        <v>173</v>
      </c>
      <c r="F5" s="74" t="s">
        <v>326</v>
      </c>
      <c r="G5" s="74" t="s">
        <v>327</v>
      </c>
      <c r="H5" s="74" t="s">
        <v>328</v>
      </c>
      <c r="I5" s="248" t="s">
        <v>329</v>
      </c>
      <c r="J5" s="248" t="s">
        <v>330</v>
      </c>
      <c r="K5" s="74" t="s">
        <v>179</v>
      </c>
      <c r="L5" s="75" t="s">
        <v>331</v>
      </c>
      <c r="M5" s="76"/>
    </row>
    <row r="6" spans="1:15" ht="20.100000000000001" customHeight="1">
      <c r="B6" s="77" t="s">
        <v>156</v>
      </c>
      <c r="C6" s="80">
        <v>9895622</v>
      </c>
      <c r="D6" s="79">
        <v>92463</v>
      </c>
      <c r="E6" s="80">
        <v>113732</v>
      </c>
      <c r="F6" s="80">
        <v>9397</v>
      </c>
      <c r="G6" s="80">
        <v>799</v>
      </c>
      <c r="H6" s="80">
        <v>544</v>
      </c>
      <c r="I6" s="80">
        <v>967</v>
      </c>
      <c r="J6" s="80">
        <v>536</v>
      </c>
      <c r="K6" s="80">
        <v>55396</v>
      </c>
      <c r="L6" s="80">
        <v>31687</v>
      </c>
      <c r="M6" s="81"/>
      <c r="N6" s="82"/>
      <c r="O6" s="249"/>
    </row>
    <row r="7" spans="1:15">
      <c r="B7" s="83"/>
      <c r="C7" s="49"/>
      <c r="D7" s="84"/>
      <c r="E7" s="85"/>
      <c r="F7" s="86"/>
      <c r="G7" s="60"/>
      <c r="H7" s="60"/>
      <c r="I7" s="60"/>
      <c r="J7" s="60"/>
      <c r="K7" s="87"/>
      <c r="L7" s="85"/>
      <c r="N7" s="84"/>
      <c r="O7" s="249"/>
    </row>
    <row r="8" spans="1:15" ht="15" customHeight="1">
      <c r="B8" s="88" t="s">
        <v>332</v>
      </c>
      <c r="C8" s="49">
        <v>10578</v>
      </c>
      <c r="D8" s="49">
        <v>185</v>
      </c>
      <c r="E8" s="49">
        <v>59</v>
      </c>
      <c r="F8" s="49">
        <v>5</v>
      </c>
      <c r="G8" s="89" t="s">
        <v>284</v>
      </c>
      <c r="H8" s="89" t="s">
        <v>284</v>
      </c>
      <c r="I8" s="90">
        <v>1</v>
      </c>
      <c r="J8" s="90">
        <v>1</v>
      </c>
      <c r="K8" s="91">
        <v>53</v>
      </c>
      <c r="L8" s="91">
        <v>27</v>
      </c>
      <c r="N8" s="82"/>
      <c r="O8" s="250"/>
    </row>
    <row r="9" spans="1:15" ht="15" customHeight="1">
      <c r="B9" s="88" t="s">
        <v>333</v>
      </c>
      <c r="C9" s="49">
        <v>9522</v>
      </c>
      <c r="D9" s="49">
        <v>102</v>
      </c>
      <c r="E9" s="49">
        <v>71</v>
      </c>
      <c r="F9" s="49">
        <v>2</v>
      </c>
      <c r="G9" s="89" t="s">
        <v>284</v>
      </c>
      <c r="H9" s="89" t="s">
        <v>284</v>
      </c>
      <c r="I9" s="90" t="s">
        <v>284</v>
      </c>
      <c r="J9" s="90" t="s">
        <v>284</v>
      </c>
      <c r="K9" s="91">
        <v>49</v>
      </c>
      <c r="L9" s="91">
        <v>37</v>
      </c>
      <c r="N9" s="92"/>
      <c r="O9" s="249"/>
    </row>
    <row r="10" spans="1:15" ht="15" customHeight="1">
      <c r="B10" s="88" t="s">
        <v>334</v>
      </c>
      <c r="C10" s="49">
        <v>112531</v>
      </c>
      <c r="D10" s="49">
        <v>949</v>
      </c>
      <c r="E10" s="49">
        <v>1299</v>
      </c>
      <c r="F10" s="49">
        <v>84</v>
      </c>
      <c r="G10" s="89">
        <v>9</v>
      </c>
      <c r="H10" s="89">
        <v>3</v>
      </c>
      <c r="I10" s="90">
        <v>5</v>
      </c>
      <c r="J10" s="90">
        <v>4</v>
      </c>
      <c r="K10" s="91">
        <v>693</v>
      </c>
      <c r="L10" s="91">
        <v>411</v>
      </c>
      <c r="N10" s="82"/>
      <c r="O10" s="249"/>
    </row>
    <row r="11" spans="1:15" ht="15" customHeight="1">
      <c r="B11" s="88" t="s">
        <v>335</v>
      </c>
      <c r="C11" s="49">
        <v>29091</v>
      </c>
      <c r="D11" s="49">
        <v>354</v>
      </c>
      <c r="E11" s="49">
        <v>263</v>
      </c>
      <c r="F11" s="49">
        <v>17</v>
      </c>
      <c r="G11" s="90">
        <v>1</v>
      </c>
      <c r="H11" s="89">
        <v>1</v>
      </c>
      <c r="I11" s="90">
        <v>4</v>
      </c>
      <c r="J11" s="90">
        <v>3</v>
      </c>
      <c r="K11" s="91">
        <v>185</v>
      </c>
      <c r="L11" s="91">
        <v>111</v>
      </c>
      <c r="N11" s="82"/>
      <c r="O11" s="249"/>
    </row>
    <row r="12" spans="1:15" ht="15" customHeight="1">
      <c r="B12" s="88" t="s">
        <v>336</v>
      </c>
      <c r="C12" s="49">
        <v>23370</v>
      </c>
      <c r="D12" s="49">
        <v>272</v>
      </c>
      <c r="E12" s="49">
        <v>197</v>
      </c>
      <c r="F12" s="49">
        <v>19</v>
      </c>
      <c r="G12" s="90">
        <v>3</v>
      </c>
      <c r="H12" s="89">
        <v>3</v>
      </c>
      <c r="I12" s="90">
        <v>4</v>
      </c>
      <c r="J12" s="90">
        <v>1</v>
      </c>
      <c r="K12" s="91">
        <v>140</v>
      </c>
      <c r="L12" s="91">
        <v>70</v>
      </c>
      <c r="N12" s="82"/>
      <c r="O12" s="249"/>
    </row>
    <row r="13" spans="1:15">
      <c r="B13" s="88"/>
      <c r="C13" s="49"/>
      <c r="D13" s="49"/>
      <c r="E13" s="49"/>
      <c r="F13" s="49"/>
      <c r="G13" s="89"/>
      <c r="H13" s="89"/>
      <c r="I13" s="90"/>
      <c r="J13" s="90"/>
      <c r="K13" s="91"/>
      <c r="L13" s="91"/>
      <c r="N13" s="82"/>
      <c r="O13" s="249"/>
    </row>
    <row r="14" spans="1:15" ht="15" customHeight="1">
      <c r="B14" s="88" t="s">
        <v>337</v>
      </c>
      <c r="C14" s="49">
        <v>15487</v>
      </c>
      <c r="D14" s="49">
        <v>221</v>
      </c>
      <c r="E14" s="49">
        <v>110</v>
      </c>
      <c r="F14" s="49">
        <v>10</v>
      </c>
      <c r="G14" s="89">
        <v>4</v>
      </c>
      <c r="H14" s="89">
        <v>4</v>
      </c>
      <c r="I14" s="90">
        <v>4</v>
      </c>
      <c r="J14" s="90">
        <v>1</v>
      </c>
      <c r="K14" s="91">
        <v>89</v>
      </c>
      <c r="L14" s="91">
        <v>37</v>
      </c>
      <c r="N14" s="82"/>
      <c r="O14" s="249"/>
    </row>
    <row r="15" spans="1:15" ht="15" customHeight="1">
      <c r="B15" s="88" t="s">
        <v>338</v>
      </c>
      <c r="C15" s="49">
        <v>8695</v>
      </c>
      <c r="D15" s="49">
        <v>102</v>
      </c>
      <c r="E15" s="49">
        <v>79</v>
      </c>
      <c r="F15" s="49">
        <v>6</v>
      </c>
      <c r="G15" s="89">
        <v>1</v>
      </c>
      <c r="H15" s="89">
        <v>1</v>
      </c>
      <c r="I15" s="90">
        <v>2</v>
      </c>
      <c r="J15" s="90">
        <v>1</v>
      </c>
      <c r="K15" s="91">
        <v>43</v>
      </c>
      <c r="L15" s="91">
        <v>18</v>
      </c>
      <c r="N15" s="92"/>
      <c r="O15" s="249"/>
    </row>
    <row r="16" spans="1:15" ht="15" customHeight="1">
      <c r="B16" s="88" t="s">
        <v>339</v>
      </c>
      <c r="C16" s="49">
        <v>59097</v>
      </c>
      <c r="D16" s="49">
        <v>535</v>
      </c>
      <c r="E16" s="49">
        <v>580</v>
      </c>
      <c r="F16" s="49">
        <v>34</v>
      </c>
      <c r="G16" s="89">
        <v>4</v>
      </c>
      <c r="H16" s="89">
        <v>3</v>
      </c>
      <c r="I16" s="90">
        <v>8</v>
      </c>
      <c r="J16" s="90">
        <v>7</v>
      </c>
      <c r="K16" s="91">
        <v>350</v>
      </c>
      <c r="L16" s="91">
        <v>224</v>
      </c>
      <c r="N16" s="82"/>
      <c r="O16" s="249"/>
    </row>
    <row r="17" spans="2:15" ht="15" customHeight="1">
      <c r="B17" s="88" t="s">
        <v>340</v>
      </c>
      <c r="C17" s="49">
        <v>106832</v>
      </c>
      <c r="D17" s="49">
        <v>1159</v>
      </c>
      <c r="E17" s="49">
        <v>1042</v>
      </c>
      <c r="F17" s="49">
        <v>70</v>
      </c>
      <c r="G17" s="89">
        <v>2</v>
      </c>
      <c r="H17" s="89" t="s">
        <v>284</v>
      </c>
      <c r="I17" s="90">
        <v>6</v>
      </c>
      <c r="J17" s="90">
        <v>6</v>
      </c>
      <c r="K17" s="91">
        <v>601</v>
      </c>
      <c r="L17" s="91">
        <v>366</v>
      </c>
      <c r="N17" s="82"/>
      <c r="O17" s="249"/>
    </row>
    <row r="18" spans="2:15" ht="15" customHeight="1">
      <c r="B18" s="88" t="s">
        <v>341</v>
      </c>
      <c r="C18" s="49">
        <v>17428</v>
      </c>
      <c r="D18" s="49">
        <v>217</v>
      </c>
      <c r="E18" s="49">
        <v>156</v>
      </c>
      <c r="F18" s="49">
        <v>13</v>
      </c>
      <c r="G18" s="90">
        <v>2</v>
      </c>
      <c r="H18" s="90">
        <v>2</v>
      </c>
      <c r="I18" s="90">
        <v>2</v>
      </c>
      <c r="J18" s="90">
        <v>1</v>
      </c>
      <c r="K18" s="91">
        <v>131</v>
      </c>
      <c r="L18" s="91">
        <v>64</v>
      </c>
      <c r="N18" s="92"/>
      <c r="O18" s="249"/>
    </row>
    <row r="19" spans="2:15" ht="12.75" customHeight="1">
      <c r="B19" s="83"/>
      <c r="C19" s="49"/>
      <c r="D19" s="49"/>
      <c r="E19" s="49"/>
      <c r="F19" s="49"/>
      <c r="G19" s="89"/>
      <c r="H19" s="89"/>
      <c r="I19" s="90"/>
      <c r="J19" s="90"/>
      <c r="K19" s="91"/>
      <c r="L19" s="91"/>
      <c r="N19" s="92"/>
      <c r="O19" s="249"/>
    </row>
    <row r="20" spans="2:15" ht="15" customHeight="1">
      <c r="B20" s="88" t="s">
        <v>342</v>
      </c>
      <c r="C20" s="49">
        <v>155252</v>
      </c>
      <c r="D20" s="49">
        <v>1641</v>
      </c>
      <c r="E20" s="49">
        <v>1896</v>
      </c>
      <c r="F20" s="49">
        <v>143</v>
      </c>
      <c r="G20" s="89">
        <v>14</v>
      </c>
      <c r="H20" s="89">
        <v>8</v>
      </c>
      <c r="I20" s="90">
        <v>19</v>
      </c>
      <c r="J20" s="90">
        <v>12</v>
      </c>
      <c r="K20" s="91">
        <v>1128</v>
      </c>
      <c r="L20" s="91">
        <v>501</v>
      </c>
      <c r="N20" s="82"/>
      <c r="O20" s="249"/>
    </row>
    <row r="21" spans="2:15" ht="15" customHeight="1">
      <c r="B21" s="88" t="s">
        <v>343</v>
      </c>
      <c r="C21" s="49">
        <v>43649</v>
      </c>
      <c r="D21" s="49">
        <v>459</v>
      </c>
      <c r="E21" s="49">
        <v>567</v>
      </c>
      <c r="F21" s="49">
        <v>39</v>
      </c>
      <c r="G21" s="89">
        <v>3</v>
      </c>
      <c r="H21" s="89">
        <v>2</v>
      </c>
      <c r="I21" s="90">
        <v>5</v>
      </c>
      <c r="J21" s="90">
        <v>3</v>
      </c>
      <c r="K21" s="91">
        <v>283</v>
      </c>
      <c r="L21" s="91">
        <v>158</v>
      </c>
      <c r="N21" s="82"/>
      <c r="O21" s="249"/>
    </row>
    <row r="22" spans="2:15" ht="15" customHeight="1">
      <c r="B22" s="88" t="s">
        <v>344</v>
      </c>
      <c r="C22" s="49">
        <v>135012</v>
      </c>
      <c r="D22" s="49">
        <v>1422</v>
      </c>
      <c r="E22" s="49">
        <v>1697</v>
      </c>
      <c r="F22" s="49">
        <v>141</v>
      </c>
      <c r="G22" s="89">
        <v>11</v>
      </c>
      <c r="H22" s="89">
        <v>8</v>
      </c>
      <c r="I22" s="90">
        <v>11</v>
      </c>
      <c r="J22" s="90">
        <v>6</v>
      </c>
      <c r="K22" s="91">
        <v>901</v>
      </c>
      <c r="L22" s="91">
        <v>534</v>
      </c>
      <c r="N22" s="82"/>
      <c r="O22" s="249"/>
    </row>
    <row r="23" spans="2:15" ht="15" customHeight="1">
      <c r="B23" s="88" t="s">
        <v>345</v>
      </c>
      <c r="C23" s="49">
        <v>51910</v>
      </c>
      <c r="D23" s="49">
        <v>534</v>
      </c>
      <c r="E23" s="49">
        <v>470</v>
      </c>
      <c r="F23" s="49">
        <v>31</v>
      </c>
      <c r="G23" s="89">
        <v>3</v>
      </c>
      <c r="H23" s="89" t="s">
        <v>284</v>
      </c>
      <c r="I23" s="90">
        <v>3</v>
      </c>
      <c r="J23" s="90">
        <v>3</v>
      </c>
      <c r="K23" s="91">
        <v>281</v>
      </c>
      <c r="L23" s="91">
        <v>196</v>
      </c>
      <c r="N23" s="82"/>
      <c r="O23" s="249"/>
    </row>
    <row r="24" spans="2:15" ht="15" customHeight="1">
      <c r="B24" s="88" t="s">
        <v>346</v>
      </c>
      <c r="C24" s="49">
        <v>26129</v>
      </c>
      <c r="D24" s="49">
        <v>290</v>
      </c>
      <c r="E24" s="49">
        <v>227</v>
      </c>
      <c r="F24" s="49">
        <v>16</v>
      </c>
      <c r="G24" s="89" t="s">
        <v>284</v>
      </c>
      <c r="H24" s="89" t="s">
        <v>284</v>
      </c>
      <c r="I24" s="90">
        <v>1</v>
      </c>
      <c r="J24" s="90">
        <v>1</v>
      </c>
      <c r="K24" s="91">
        <v>196</v>
      </c>
      <c r="L24" s="91">
        <v>102</v>
      </c>
      <c r="N24" s="82"/>
      <c r="O24" s="249"/>
    </row>
    <row r="25" spans="2:15">
      <c r="B25" s="88"/>
      <c r="C25" s="49"/>
      <c r="D25" s="49"/>
      <c r="E25" s="49"/>
      <c r="F25" s="49"/>
      <c r="G25" s="89"/>
      <c r="H25" s="89"/>
      <c r="I25" s="90"/>
      <c r="J25" s="90"/>
      <c r="K25" s="91"/>
      <c r="L25" s="91"/>
      <c r="N25" s="82"/>
      <c r="O25" s="249"/>
    </row>
    <row r="26" spans="2:15" ht="15" customHeight="1">
      <c r="B26" s="88" t="s">
        <v>347</v>
      </c>
      <c r="C26" s="49">
        <v>25726</v>
      </c>
      <c r="D26" s="49">
        <v>285</v>
      </c>
      <c r="E26" s="49">
        <v>192</v>
      </c>
      <c r="F26" s="49">
        <v>8</v>
      </c>
      <c r="G26" s="89" t="s">
        <v>284</v>
      </c>
      <c r="H26" s="89" t="s">
        <v>284</v>
      </c>
      <c r="I26" s="90">
        <v>3</v>
      </c>
      <c r="J26" s="90">
        <v>3</v>
      </c>
      <c r="K26" s="91">
        <v>160</v>
      </c>
      <c r="L26" s="91">
        <v>82</v>
      </c>
      <c r="N26" s="82"/>
      <c r="O26" s="249"/>
    </row>
    <row r="27" spans="2:15" ht="15" customHeight="1">
      <c r="B27" s="88" t="s">
        <v>348</v>
      </c>
      <c r="C27" s="49">
        <v>38696</v>
      </c>
      <c r="D27" s="49">
        <v>348</v>
      </c>
      <c r="E27" s="49">
        <v>339</v>
      </c>
      <c r="F27" s="49">
        <v>17</v>
      </c>
      <c r="G27" s="89">
        <v>2</v>
      </c>
      <c r="H27" s="89">
        <v>1</v>
      </c>
      <c r="I27" s="90">
        <v>2</v>
      </c>
      <c r="J27" s="90">
        <v>1</v>
      </c>
      <c r="K27" s="91">
        <v>220</v>
      </c>
      <c r="L27" s="91">
        <v>133</v>
      </c>
      <c r="N27" s="82"/>
      <c r="O27" s="249"/>
    </row>
    <row r="28" spans="2:15" ht="15" customHeight="1">
      <c r="B28" s="88" t="s">
        <v>349</v>
      </c>
      <c r="C28" s="49">
        <v>30569</v>
      </c>
      <c r="D28" s="49">
        <v>373</v>
      </c>
      <c r="E28" s="49">
        <v>300</v>
      </c>
      <c r="F28" s="49">
        <v>22</v>
      </c>
      <c r="G28" s="89">
        <v>1</v>
      </c>
      <c r="H28" s="89">
        <v>1</v>
      </c>
      <c r="I28" s="90">
        <v>2</v>
      </c>
      <c r="J28" s="90">
        <v>2</v>
      </c>
      <c r="K28" s="91">
        <v>195</v>
      </c>
      <c r="L28" s="91">
        <v>145</v>
      </c>
      <c r="N28" s="82"/>
      <c r="O28" s="249"/>
    </row>
    <row r="29" spans="2:15" ht="15" customHeight="1">
      <c r="B29" s="88" t="s">
        <v>350</v>
      </c>
      <c r="C29" s="49">
        <v>76739</v>
      </c>
      <c r="D29" s="49">
        <v>624</v>
      </c>
      <c r="E29" s="49">
        <v>803</v>
      </c>
      <c r="F29" s="49">
        <v>47</v>
      </c>
      <c r="G29" s="89">
        <v>2</v>
      </c>
      <c r="H29" s="89">
        <v>1</v>
      </c>
      <c r="I29" s="90">
        <v>2</v>
      </c>
      <c r="J29" s="90">
        <v>2</v>
      </c>
      <c r="K29" s="91">
        <v>413</v>
      </c>
      <c r="L29" s="91">
        <v>223</v>
      </c>
      <c r="N29" s="82"/>
      <c r="O29" s="249"/>
    </row>
    <row r="30" spans="2:15" ht="15" customHeight="1">
      <c r="B30" s="88" t="s">
        <v>351</v>
      </c>
      <c r="C30" s="49">
        <v>13904</v>
      </c>
      <c r="D30" s="49">
        <v>170</v>
      </c>
      <c r="E30" s="49">
        <v>110</v>
      </c>
      <c r="F30" s="49">
        <v>11</v>
      </c>
      <c r="G30" s="90">
        <v>1</v>
      </c>
      <c r="H30" s="90">
        <v>1</v>
      </c>
      <c r="I30" s="90" t="s">
        <v>284</v>
      </c>
      <c r="J30" s="90" t="s">
        <v>284</v>
      </c>
      <c r="K30" s="91">
        <v>82</v>
      </c>
      <c r="L30" s="91">
        <v>52</v>
      </c>
      <c r="N30" s="82"/>
      <c r="O30" s="249"/>
    </row>
    <row r="31" spans="2:15">
      <c r="B31" s="83"/>
      <c r="C31" s="49"/>
      <c r="D31" s="49"/>
      <c r="E31" s="49"/>
      <c r="F31" s="49"/>
      <c r="G31" s="89"/>
      <c r="H31" s="89"/>
      <c r="I31" s="90"/>
      <c r="J31" s="90"/>
      <c r="K31" s="91"/>
      <c r="L31" s="91"/>
      <c r="N31" s="82"/>
      <c r="O31" s="249"/>
    </row>
    <row r="32" spans="2:15" ht="15" customHeight="1">
      <c r="B32" s="88" t="s">
        <v>352</v>
      </c>
      <c r="C32" s="49">
        <v>36905</v>
      </c>
      <c r="D32" s="49">
        <v>438</v>
      </c>
      <c r="E32" s="49">
        <v>354</v>
      </c>
      <c r="F32" s="49">
        <v>22</v>
      </c>
      <c r="G32" s="89">
        <v>1</v>
      </c>
      <c r="H32" s="89">
        <v>1</v>
      </c>
      <c r="I32" s="90">
        <v>2</v>
      </c>
      <c r="J32" s="90">
        <v>1</v>
      </c>
      <c r="K32" s="91">
        <v>250</v>
      </c>
      <c r="L32" s="91">
        <v>126</v>
      </c>
      <c r="N32" s="82"/>
      <c r="O32" s="249"/>
    </row>
    <row r="33" spans="2:15" ht="15" customHeight="1">
      <c r="B33" s="88" t="s">
        <v>353</v>
      </c>
      <c r="C33" s="49">
        <v>26098</v>
      </c>
      <c r="D33" s="49">
        <v>304</v>
      </c>
      <c r="E33" s="49">
        <v>276</v>
      </c>
      <c r="F33" s="49">
        <v>37</v>
      </c>
      <c r="G33" s="89">
        <v>4</v>
      </c>
      <c r="H33" s="89">
        <v>4</v>
      </c>
      <c r="I33" s="90">
        <v>4</v>
      </c>
      <c r="J33" s="90">
        <v>1</v>
      </c>
      <c r="K33" s="91">
        <v>185</v>
      </c>
      <c r="L33" s="91">
        <v>100</v>
      </c>
      <c r="N33" s="82"/>
      <c r="O33" s="249"/>
    </row>
    <row r="34" spans="2:15" ht="15" customHeight="1">
      <c r="B34" s="88" t="s">
        <v>354</v>
      </c>
      <c r="C34" s="49">
        <v>108348</v>
      </c>
      <c r="D34" s="49">
        <v>1018</v>
      </c>
      <c r="E34" s="49">
        <v>1119</v>
      </c>
      <c r="F34" s="49">
        <v>82</v>
      </c>
      <c r="G34" s="89">
        <v>10</v>
      </c>
      <c r="H34" s="89">
        <v>6</v>
      </c>
      <c r="I34" s="90">
        <v>7</v>
      </c>
      <c r="J34" s="90">
        <v>2</v>
      </c>
      <c r="K34" s="91">
        <v>698</v>
      </c>
      <c r="L34" s="91">
        <v>422</v>
      </c>
      <c r="N34" s="82"/>
      <c r="O34" s="249"/>
    </row>
    <row r="35" spans="2:15" ht="15" customHeight="1">
      <c r="B35" s="88" t="s">
        <v>355</v>
      </c>
      <c r="C35" s="49">
        <v>33140</v>
      </c>
      <c r="D35" s="49">
        <v>357</v>
      </c>
      <c r="E35" s="49">
        <v>297</v>
      </c>
      <c r="F35" s="49">
        <v>17</v>
      </c>
      <c r="G35" s="89">
        <v>2</v>
      </c>
      <c r="H35" s="89">
        <v>2</v>
      </c>
      <c r="I35" s="90">
        <v>4</v>
      </c>
      <c r="J35" s="90">
        <v>2</v>
      </c>
      <c r="K35" s="91">
        <v>255</v>
      </c>
      <c r="L35" s="91">
        <v>137</v>
      </c>
      <c r="N35" s="82"/>
      <c r="O35" s="249"/>
    </row>
    <row r="36" spans="2:15" ht="15" customHeight="1">
      <c r="B36" s="88" t="s">
        <v>356</v>
      </c>
      <c r="C36" s="49">
        <v>415376</v>
      </c>
      <c r="D36" s="49">
        <v>4328</v>
      </c>
      <c r="E36" s="49">
        <v>5019</v>
      </c>
      <c r="F36" s="49">
        <v>491</v>
      </c>
      <c r="G36" s="89">
        <v>40</v>
      </c>
      <c r="H36" s="89">
        <v>25</v>
      </c>
      <c r="I36" s="90">
        <v>30</v>
      </c>
      <c r="J36" s="90">
        <v>11</v>
      </c>
      <c r="K36" s="91">
        <v>2093</v>
      </c>
      <c r="L36" s="91">
        <v>1428</v>
      </c>
      <c r="N36" s="82"/>
      <c r="O36" s="249"/>
    </row>
    <row r="37" spans="2:15">
      <c r="B37" s="88"/>
      <c r="C37" s="49"/>
      <c r="D37" s="49"/>
      <c r="E37" s="49"/>
      <c r="F37" s="49"/>
      <c r="G37" s="89"/>
      <c r="H37" s="89"/>
      <c r="I37" s="90"/>
      <c r="J37" s="90"/>
      <c r="K37" s="91"/>
      <c r="L37" s="91"/>
      <c r="N37" s="82"/>
      <c r="O37" s="249"/>
    </row>
    <row r="38" spans="2:15" ht="15" customHeight="1">
      <c r="B38" s="88" t="s">
        <v>357</v>
      </c>
      <c r="C38" s="49">
        <v>25493</v>
      </c>
      <c r="D38" s="49">
        <v>354</v>
      </c>
      <c r="E38" s="49">
        <v>249</v>
      </c>
      <c r="F38" s="49">
        <v>9</v>
      </c>
      <c r="G38" s="90">
        <v>2</v>
      </c>
      <c r="H38" s="90">
        <v>1</v>
      </c>
      <c r="I38" s="90">
        <v>3</v>
      </c>
      <c r="J38" s="90">
        <v>2</v>
      </c>
      <c r="K38" s="91">
        <v>160</v>
      </c>
      <c r="L38" s="91">
        <v>105</v>
      </c>
      <c r="N38" s="92"/>
      <c r="O38" s="249"/>
    </row>
    <row r="39" spans="2:15" ht="15" customHeight="1">
      <c r="B39" s="88" t="s">
        <v>358</v>
      </c>
      <c r="C39" s="49">
        <v>15916</v>
      </c>
      <c r="D39" s="49">
        <v>205</v>
      </c>
      <c r="E39" s="49">
        <v>118</v>
      </c>
      <c r="F39" s="49">
        <v>4</v>
      </c>
      <c r="G39" s="89" t="s">
        <v>284</v>
      </c>
      <c r="H39" s="89" t="s">
        <v>284</v>
      </c>
      <c r="I39" s="90" t="s">
        <v>284</v>
      </c>
      <c r="J39" s="90" t="s">
        <v>284</v>
      </c>
      <c r="K39" s="91">
        <v>93</v>
      </c>
      <c r="L39" s="91">
        <v>37</v>
      </c>
      <c r="N39" s="82"/>
      <c r="O39" s="249"/>
    </row>
    <row r="40" spans="2:15" ht="15" customHeight="1">
      <c r="B40" s="88" t="s">
        <v>359</v>
      </c>
      <c r="C40" s="49">
        <v>89987</v>
      </c>
      <c r="D40" s="49">
        <v>816</v>
      </c>
      <c r="E40" s="49">
        <v>960</v>
      </c>
      <c r="F40" s="49">
        <v>66</v>
      </c>
      <c r="G40" s="89" t="s">
        <v>284</v>
      </c>
      <c r="H40" s="89" t="s">
        <v>284</v>
      </c>
      <c r="I40" s="90">
        <v>2</v>
      </c>
      <c r="J40" s="90">
        <v>2</v>
      </c>
      <c r="K40" s="91">
        <v>658</v>
      </c>
      <c r="L40" s="91">
        <v>398</v>
      </c>
      <c r="N40" s="82"/>
      <c r="O40" s="249"/>
    </row>
    <row r="41" spans="2:15" ht="15" customHeight="1">
      <c r="B41" s="88" t="s">
        <v>360</v>
      </c>
      <c r="C41" s="49">
        <v>41968</v>
      </c>
      <c r="D41" s="49">
        <v>433</v>
      </c>
      <c r="E41" s="49">
        <v>401</v>
      </c>
      <c r="F41" s="49">
        <v>27</v>
      </c>
      <c r="G41" s="90">
        <v>3</v>
      </c>
      <c r="H41" s="90">
        <v>3</v>
      </c>
      <c r="I41" s="90">
        <v>6</v>
      </c>
      <c r="J41" s="90">
        <v>3</v>
      </c>
      <c r="K41" s="91">
        <v>231</v>
      </c>
      <c r="L41" s="91">
        <v>106</v>
      </c>
      <c r="N41" s="82"/>
      <c r="O41" s="249"/>
    </row>
    <row r="42" spans="2:15" ht="15" customHeight="1">
      <c r="B42" s="88" t="s">
        <v>361</v>
      </c>
      <c r="C42" s="49">
        <v>46101</v>
      </c>
      <c r="D42" s="49">
        <v>457</v>
      </c>
      <c r="E42" s="49">
        <v>580</v>
      </c>
      <c r="F42" s="49">
        <v>56</v>
      </c>
      <c r="G42" s="90">
        <v>3</v>
      </c>
      <c r="H42" s="89">
        <v>3</v>
      </c>
      <c r="I42" s="90">
        <v>4</v>
      </c>
      <c r="J42" s="90">
        <v>1</v>
      </c>
      <c r="K42" s="91">
        <v>331</v>
      </c>
      <c r="L42" s="91">
        <v>248</v>
      </c>
      <c r="N42" s="82"/>
      <c r="O42" s="249"/>
    </row>
    <row r="43" spans="2:15" ht="15" customHeight="1">
      <c r="B43" s="11"/>
      <c r="C43" s="49"/>
      <c r="D43" s="49"/>
      <c r="E43" s="49"/>
      <c r="F43" s="49"/>
      <c r="G43" s="89"/>
      <c r="H43" s="89"/>
      <c r="I43" s="90"/>
      <c r="J43" s="90"/>
      <c r="K43" s="91"/>
      <c r="L43" s="91"/>
      <c r="N43" s="82"/>
      <c r="O43" s="249"/>
    </row>
    <row r="44" spans="2:15" ht="15.75">
      <c r="B44" s="88" t="s">
        <v>362</v>
      </c>
      <c r="C44" s="49">
        <v>36225</v>
      </c>
      <c r="D44" s="49">
        <v>361</v>
      </c>
      <c r="E44" s="49">
        <v>369</v>
      </c>
      <c r="F44" s="49">
        <v>11</v>
      </c>
      <c r="G44" s="89">
        <v>3</v>
      </c>
      <c r="H44" s="89">
        <v>2</v>
      </c>
      <c r="I44" s="90">
        <v>2</v>
      </c>
      <c r="J44" s="90">
        <v>1</v>
      </c>
      <c r="K44" s="91">
        <v>193</v>
      </c>
      <c r="L44" s="91">
        <v>82</v>
      </c>
      <c r="N44" s="37"/>
      <c r="O44" s="249"/>
    </row>
    <row r="45" spans="2:15" ht="15" customHeight="1">
      <c r="B45" s="88" t="s">
        <v>363</v>
      </c>
      <c r="C45" s="49">
        <v>32224</v>
      </c>
      <c r="D45" s="49">
        <v>418</v>
      </c>
      <c r="E45" s="49">
        <v>303</v>
      </c>
      <c r="F45" s="49">
        <v>20</v>
      </c>
      <c r="G45" s="89" t="s">
        <v>284</v>
      </c>
      <c r="H45" s="89" t="s">
        <v>284</v>
      </c>
      <c r="I45" s="90">
        <v>1</v>
      </c>
      <c r="J45" s="90">
        <v>1</v>
      </c>
      <c r="K45" s="91">
        <v>194</v>
      </c>
      <c r="L45" s="91">
        <v>107</v>
      </c>
      <c r="N45" s="82"/>
      <c r="O45" s="249"/>
    </row>
    <row r="46" spans="2:15" ht="15" customHeight="1">
      <c r="B46" s="88" t="s">
        <v>364</v>
      </c>
      <c r="C46" s="49">
        <v>282234</v>
      </c>
      <c r="D46" s="49">
        <v>2133</v>
      </c>
      <c r="E46" s="49">
        <v>3272</v>
      </c>
      <c r="F46" s="49">
        <v>273</v>
      </c>
      <c r="G46" s="89">
        <v>28</v>
      </c>
      <c r="H46" s="89">
        <v>20</v>
      </c>
      <c r="I46" s="90">
        <v>29</v>
      </c>
      <c r="J46" s="90">
        <v>13</v>
      </c>
      <c r="K46" s="91">
        <v>1677</v>
      </c>
      <c r="L46" s="91">
        <v>884</v>
      </c>
      <c r="N46" s="82"/>
      <c r="O46" s="249"/>
    </row>
    <row r="47" spans="2:15" ht="15" customHeight="1">
      <c r="B47" s="88" t="s">
        <v>365</v>
      </c>
      <c r="C47" s="49">
        <v>64073</v>
      </c>
      <c r="D47" s="49">
        <v>520</v>
      </c>
      <c r="E47" s="49">
        <v>747</v>
      </c>
      <c r="F47" s="49">
        <v>41</v>
      </c>
      <c r="G47" s="89">
        <v>5</v>
      </c>
      <c r="H47" s="90">
        <v>2</v>
      </c>
      <c r="I47" s="90">
        <v>4</v>
      </c>
      <c r="J47" s="90">
        <v>2</v>
      </c>
      <c r="K47" s="91">
        <v>402</v>
      </c>
      <c r="L47" s="91">
        <v>219</v>
      </c>
      <c r="N47" s="82"/>
      <c r="O47" s="249"/>
    </row>
    <row r="48" spans="2:15" ht="15" customHeight="1">
      <c r="B48" s="88" t="s">
        <v>366</v>
      </c>
      <c r="C48" s="49">
        <v>25429</v>
      </c>
      <c r="D48" s="49">
        <v>454</v>
      </c>
      <c r="E48" s="49">
        <v>236</v>
      </c>
      <c r="F48" s="49">
        <v>11</v>
      </c>
      <c r="G48" s="89">
        <v>1</v>
      </c>
      <c r="H48" s="89" t="s">
        <v>284</v>
      </c>
      <c r="I48" s="90" t="s">
        <v>284</v>
      </c>
      <c r="J48" s="90" t="s">
        <v>284</v>
      </c>
      <c r="K48" s="91">
        <v>138</v>
      </c>
      <c r="L48" s="91">
        <v>93</v>
      </c>
      <c r="N48" s="82"/>
      <c r="O48" s="249"/>
    </row>
    <row r="49" spans="2:15" ht="15" customHeight="1">
      <c r="B49" s="11"/>
      <c r="C49" s="49"/>
      <c r="D49" s="49"/>
      <c r="E49" s="49"/>
      <c r="F49" s="49"/>
      <c r="G49" s="89"/>
      <c r="H49" s="89"/>
      <c r="I49" s="90"/>
      <c r="J49" s="90"/>
      <c r="K49" s="91"/>
      <c r="L49" s="91"/>
      <c r="N49" s="92"/>
      <c r="O49" s="249"/>
    </row>
    <row r="50" spans="2:15">
      <c r="B50" s="88" t="s">
        <v>367</v>
      </c>
      <c r="C50" s="49">
        <v>11516</v>
      </c>
      <c r="D50" s="49">
        <v>189</v>
      </c>
      <c r="E50" s="49">
        <v>88</v>
      </c>
      <c r="F50" s="89">
        <v>10</v>
      </c>
      <c r="G50" s="89" t="s">
        <v>284</v>
      </c>
      <c r="H50" s="89" t="s">
        <v>284</v>
      </c>
      <c r="I50" s="90">
        <v>1</v>
      </c>
      <c r="J50" s="90">
        <v>1</v>
      </c>
      <c r="K50" s="91">
        <v>70</v>
      </c>
      <c r="L50" s="91">
        <v>41</v>
      </c>
      <c r="N50" s="92"/>
      <c r="O50" s="249"/>
    </row>
    <row r="51" spans="2:15" ht="15" customHeight="1">
      <c r="B51" s="88" t="s">
        <v>368</v>
      </c>
      <c r="C51" s="49">
        <v>70436</v>
      </c>
      <c r="D51" s="49">
        <v>434</v>
      </c>
      <c r="E51" s="49">
        <v>659</v>
      </c>
      <c r="F51" s="49">
        <v>44</v>
      </c>
      <c r="G51" s="89">
        <v>2</v>
      </c>
      <c r="H51" s="89" t="s">
        <v>284</v>
      </c>
      <c r="I51" s="90">
        <v>4</v>
      </c>
      <c r="J51" s="90">
        <v>4</v>
      </c>
      <c r="K51" s="91">
        <v>405</v>
      </c>
      <c r="L51" s="91">
        <v>193</v>
      </c>
      <c r="N51" s="82"/>
      <c r="O51" s="249"/>
    </row>
    <row r="52" spans="2:15" ht="15" customHeight="1">
      <c r="B52" s="88" t="s">
        <v>369</v>
      </c>
      <c r="C52" s="49">
        <v>160369</v>
      </c>
      <c r="D52" s="49">
        <v>1664</v>
      </c>
      <c r="E52" s="49">
        <v>1725</v>
      </c>
      <c r="F52" s="49">
        <v>136</v>
      </c>
      <c r="G52" s="89">
        <v>15</v>
      </c>
      <c r="H52" s="89">
        <v>10</v>
      </c>
      <c r="I52" s="90">
        <v>18</v>
      </c>
      <c r="J52" s="90">
        <v>10</v>
      </c>
      <c r="K52" s="91">
        <v>985</v>
      </c>
      <c r="L52" s="91">
        <v>689</v>
      </c>
      <c r="N52" s="82"/>
      <c r="O52" s="249"/>
    </row>
    <row r="53" spans="2:15" ht="15" customHeight="1">
      <c r="B53" s="88" t="s">
        <v>370</v>
      </c>
      <c r="C53" s="49">
        <v>256725</v>
      </c>
      <c r="D53" s="49">
        <v>2069</v>
      </c>
      <c r="E53" s="49">
        <v>3176</v>
      </c>
      <c r="F53" s="49">
        <v>214</v>
      </c>
      <c r="G53" s="89">
        <v>26</v>
      </c>
      <c r="H53" s="89">
        <v>11</v>
      </c>
      <c r="I53" s="90">
        <v>30</v>
      </c>
      <c r="J53" s="90">
        <v>21</v>
      </c>
      <c r="K53" s="91">
        <v>1678</v>
      </c>
      <c r="L53" s="91">
        <v>742</v>
      </c>
      <c r="N53" s="82"/>
      <c r="O53" s="249"/>
    </row>
    <row r="54" spans="2:15" ht="15" customHeight="1">
      <c r="B54" s="88" t="s">
        <v>371</v>
      </c>
      <c r="C54" s="49">
        <v>17196</v>
      </c>
      <c r="D54" s="49">
        <v>193</v>
      </c>
      <c r="E54" s="49">
        <v>164</v>
      </c>
      <c r="F54" s="49">
        <v>7</v>
      </c>
      <c r="G54" s="89">
        <v>2</v>
      </c>
      <c r="H54" s="89">
        <v>1</v>
      </c>
      <c r="I54" s="90">
        <v>2</v>
      </c>
      <c r="J54" s="90">
        <v>1</v>
      </c>
      <c r="K54" s="91">
        <v>108</v>
      </c>
      <c r="L54" s="91">
        <v>84</v>
      </c>
      <c r="N54" s="82"/>
      <c r="O54" s="249"/>
    </row>
    <row r="55" spans="2:15">
      <c r="B55" s="11"/>
      <c r="C55" s="11"/>
      <c r="D55" s="11"/>
      <c r="E55" s="11"/>
      <c r="F55" s="11"/>
      <c r="G55" s="11"/>
      <c r="H55" s="11"/>
      <c r="I55" s="90"/>
      <c r="J55" s="90"/>
      <c r="K55" s="11"/>
      <c r="L55" s="11"/>
      <c r="O55" s="249"/>
    </row>
    <row r="56" spans="2:15">
      <c r="B56" s="11" t="s">
        <v>372</v>
      </c>
      <c r="C56" s="89">
        <v>621700</v>
      </c>
      <c r="D56" s="89">
        <v>4460</v>
      </c>
      <c r="E56" s="89">
        <v>8839</v>
      </c>
      <c r="F56" s="89">
        <v>735</v>
      </c>
      <c r="G56" s="89">
        <v>39</v>
      </c>
      <c r="H56" s="89">
        <v>28</v>
      </c>
      <c r="I56" s="90">
        <v>74</v>
      </c>
      <c r="J56" s="90">
        <v>51</v>
      </c>
      <c r="K56" s="89">
        <v>4384</v>
      </c>
      <c r="L56" s="89">
        <v>2174</v>
      </c>
      <c r="O56" s="249"/>
    </row>
    <row r="57" spans="2:15">
      <c r="B57" s="11" t="s">
        <v>373</v>
      </c>
      <c r="C57" s="89">
        <v>2191</v>
      </c>
      <c r="D57" s="89">
        <v>22</v>
      </c>
      <c r="E57" s="89">
        <v>16</v>
      </c>
      <c r="F57" s="89">
        <v>1</v>
      </c>
      <c r="G57" s="89" t="s">
        <v>284</v>
      </c>
      <c r="H57" s="89" t="s">
        <v>284</v>
      </c>
      <c r="I57" s="90" t="s">
        <v>284</v>
      </c>
      <c r="J57" s="90" t="s">
        <v>284</v>
      </c>
      <c r="K57" s="89">
        <v>23</v>
      </c>
      <c r="L57" s="89">
        <v>2</v>
      </c>
      <c r="O57" s="249"/>
    </row>
    <row r="58" spans="2:15">
      <c r="B58" s="11" t="s">
        <v>374</v>
      </c>
      <c r="C58" s="89">
        <v>11386</v>
      </c>
      <c r="D58" s="89">
        <v>159</v>
      </c>
      <c r="E58" s="89">
        <v>98</v>
      </c>
      <c r="F58" s="89">
        <v>8</v>
      </c>
      <c r="G58" s="89" t="s">
        <v>284</v>
      </c>
      <c r="H58" s="89" t="s">
        <v>284</v>
      </c>
      <c r="I58" s="90" t="s">
        <v>284</v>
      </c>
      <c r="J58" s="90" t="s">
        <v>284</v>
      </c>
      <c r="K58" s="89">
        <v>47</v>
      </c>
      <c r="L58" s="89">
        <v>21</v>
      </c>
      <c r="O58" s="249"/>
    </row>
    <row r="59" spans="2:15">
      <c r="B59" s="11" t="s">
        <v>375</v>
      </c>
      <c r="C59" s="89">
        <v>88389</v>
      </c>
      <c r="D59" s="89">
        <v>767</v>
      </c>
      <c r="E59" s="89">
        <v>802</v>
      </c>
      <c r="F59" s="89">
        <v>49</v>
      </c>
      <c r="G59" s="89">
        <v>4</v>
      </c>
      <c r="H59" s="89">
        <v>4</v>
      </c>
      <c r="I59" s="90">
        <v>7</v>
      </c>
      <c r="J59" s="90">
        <v>3</v>
      </c>
      <c r="K59" s="89">
        <v>511</v>
      </c>
      <c r="L59" s="89">
        <v>322</v>
      </c>
      <c r="O59" s="249"/>
    </row>
    <row r="60" spans="2:15">
      <c r="B60" s="11" t="s">
        <v>376</v>
      </c>
      <c r="C60" s="89">
        <v>21747</v>
      </c>
      <c r="D60" s="89">
        <v>276</v>
      </c>
      <c r="E60" s="89">
        <v>178</v>
      </c>
      <c r="F60" s="89">
        <v>17</v>
      </c>
      <c r="G60" s="90">
        <v>1</v>
      </c>
      <c r="H60" s="89" t="s">
        <v>284</v>
      </c>
      <c r="I60" s="90" t="s">
        <v>284</v>
      </c>
      <c r="J60" s="90" t="s">
        <v>284</v>
      </c>
      <c r="K60" s="89">
        <v>203</v>
      </c>
      <c r="L60" s="89">
        <v>49</v>
      </c>
      <c r="O60" s="249"/>
    </row>
    <row r="61" spans="2:15">
      <c r="B61" s="11"/>
      <c r="C61" s="89"/>
      <c r="D61" s="89"/>
      <c r="E61" s="89"/>
      <c r="F61" s="89"/>
      <c r="G61" s="89"/>
      <c r="H61" s="89"/>
      <c r="I61" s="90"/>
      <c r="J61" s="90"/>
      <c r="K61" s="89"/>
      <c r="L61" s="89"/>
      <c r="O61" s="249"/>
    </row>
    <row r="62" spans="2:15">
      <c r="B62" s="11" t="s">
        <v>377</v>
      </c>
      <c r="C62" s="89">
        <v>99188</v>
      </c>
      <c r="D62" s="89">
        <v>1004</v>
      </c>
      <c r="E62" s="89">
        <v>1084</v>
      </c>
      <c r="F62" s="96">
        <v>81</v>
      </c>
      <c r="G62" s="89">
        <v>9</v>
      </c>
      <c r="H62" s="89">
        <v>4</v>
      </c>
      <c r="I62" s="90">
        <v>7</v>
      </c>
      <c r="J62" s="90">
        <v>7</v>
      </c>
      <c r="K62" s="89">
        <v>464</v>
      </c>
      <c r="L62" s="89">
        <v>384</v>
      </c>
      <c r="O62" s="249"/>
    </row>
    <row r="63" spans="2:15">
      <c r="B63" s="11" t="s">
        <v>378</v>
      </c>
      <c r="C63" s="89">
        <v>184443</v>
      </c>
      <c r="D63" s="89">
        <v>1340</v>
      </c>
      <c r="E63" s="89">
        <v>1676</v>
      </c>
      <c r="F63" s="96">
        <v>104</v>
      </c>
      <c r="G63" s="89">
        <v>7</v>
      </c>
      <c r="H63" s="89">
        <v>3</v>
      </c>
      <c r="I63" s="90">
        <v>5</v>
      </c>
      <c r="J63" s="90">
        <v>3</v>
      </c>
      <c r="K63" s="89">
        <v>1003</v>
      </c>
      <c r="L63" s="89">
        <v>641</v>
      </c>
      <c r="O63" s="249"/>
    </row>
    <row r="64" spans="2:15">
      <c r="B64" s="11" t="s">
        <v>379</v>
      </c>
      <c r="C64" s="89">
        <v>6502</v>
      </c>
      <c r="D64" s="89">
        <v>61</v>
      </c>
      <c r="E64" s="89">
        <v>43</v>
      </c>
      <c r="F64" s="96">
        <v>4</v>
      </c>
      <c r="G64" s="89" t="s">
        <v>284</v>
      </c>
      <c r="H64" s="89" t="s">
        <v>284</v>
      </c>
      <c r="I64" s="90" t="s">
        <v>284</v>
      </c>
      <c r="J64" s="90" t="s">
        <v>284</v>
      </c>
      <c r="K64" s="89">
        <v>39</v>
      </c>
      <c r="L64" s="89">
        <v>20</v>
      </c>
      <c r="O64" s="249"/>
    </row>
    <row r="65" spans="2:15">
      <c r="B65" s="11" t="s">
        <v>380</v>
      </c>
      <c r="C65" s="89">
        <v>11061</v>
      </c>
      <c r="D65" s="89">
        <v>148</v>
      </c>
      <c r="E65" s="89">
        <v>96</v>
      </c>
      <c r="F65" s="96">
        <v>5</v>
      </c>
      <c r="G65" s="89" t="s">
        <v>284</v>
      </c>
      <c r="H65" s="89" t="s">
        <v>284</v>
      </c>
      <c r="I65" s="90" t="s">
        <v>284</v>
      </c>
      <c r="J65" s="90" t="s">
        <v>284</v>
      </c>
      <c r="K65" s="89">
        <v>189</v>
      </c>
      <c r="L65" s="89">
        <v>44</v>
      </c>
      <c r="O65" s="249"/>
    </row>
    <row r="66" spans="2:15">
      <c r="B66" s="11" t="s">
        <v>381</v>
      </c>
      <c r="C66" s="89">
        <v>854769</v>
      </c>
      <c r="D66" s="89">
        <v>8499</v>
      </c>
      <c r="E66" s="89">
        <v>9386</v>
      </c>
      <c r="F66" s="96">
        <v>800</v>
      </c>
      <c r="G66" s="89">
        <v>67</v>
      </c>
      <c r="H66" s="89">
        <v>52</v>
      </c>
      <c r="I66" s="90">
        <v>97</v>
      </c>
      <c r="J66" s="90">
        <v>51</v>
      </c>
      <c r="K66" s="89">
        <v>4620</v>
      </c>
      <c r="L66" s="89">
        <v>2612</v>
      </c>
      <c r="O66" s="249"/>
    </row>
    <row r="67" spans="2:15">
      <c r="B67" s="11"/>
      <c r="C67" s="89"/>
      <c r="D67" s="89"/>
      <c r="E67" s="89"/>
      <c r="F67" s="96"/>
      <c r="G67" s="89"/>
      <c r="H67" s="89"/>
      <c r="I67" s="90"/>
      <c r="J67" s="90"/>
      <c r="K67" s="89"/>
      <c r="L67" s="89"/>
      <c r="O67" s="249"/>
    </row>
    <row r="68" spans="2:15">
      <c r="B68" s="11" t="s">
        <v>382</v>
      </c>
      <c r="C68" s="89">
        <v>24450</v>
      </c>
      <c r="D68" s="89">
        <v>317</v>
      </c>
      <c r="E68" s="89">
        <v>175</v>
      </c>
      <c r="F68" s="96">
        <v>9</v>
      </c>
      <c r="G68" s="89" t="s">
        <v>284</v>
      </c>
      <c r="H68" s="89" t="s">
        <v>284</v>
      </c>
      <c r="I68" s="90">
        <v>1</v>
      </c>
      <c r="J68" s="90">
        <v>1</v>
      </c>
      <c r="K68" s="89">
        <v>139</v>
      </c>
      <c r="L68" s="89">
        <v>75</v>
      </c>
      <c r="O68" s="249"/>
    </row>
    <row r="69" spans="2:15">
      <c r="B69" s="11" t="s">
        <v>383</v>
      </c>
      <c r="C69" s="89">
        <v>67700</v>
      </c>
      <c r="D69" s="89">
        <v>644</v>
      </c>
      <c r="E69" s="89">
        <v>599</v>
      </c>
      <c r="F69" s="96">
        <v>42</v>
      </c>
      <c r="G69" s="89">
        <v>2</v>
      </c>
      <c r="H69" s="89">
        <v>2</v>
      </c>
      <c r="I69" s="90">
        <v>4</v>
      </c>
      <c r="J69" s="90">
        <v>3</v>
      </c>
      <c r="K69" s="89">
        <v>438</v>
      </c>
      <c r="L69" s="89">
        <v>185</v>
      </c>
      <c r="O69" s="249"/>
    </row>
    <row r="70" spans="2:15">
      <c r="B70" s="11" t="s">
        <v>384</v>
      </c>
      <c r="C70" s="89">
        <v>28605</v>
      </c>
      <c r="D70" s="89">
        <v>349</v>
      </c>
      <c r="E70" s="89">
        <v>270</v>
      </c>
      <c r="F70" s="96">
        <v>21</v>
      </c>
      <c r="G70" s="89" t="s">
        <v>284</v>
      </c>
      <c r="H70" s="89" t="s">
        <v>284</v>
      </c>
      <c r="I70" s="90">
        <v>2</v>
      </c>
      <c r="J70" s="90">
        <v>2</v>
      </c>
      <c r="K70" s="89">
        <v>204</v>
      </c>
      <c r="L70" s="89">
        <v>111</v>
      </c>
      <c r="O70" s="249"/>
    </row>
    <row r="71" spans="2:15">
      <c r="B71" s="11" t="s">
        <v>385</v>
      </c>
      <c r="C71" s="89">
        <v>43108</v>
      </c>
      <c r="D71" s="89">
        <v>405</v>
      </c>
      <c r="E71" s="89">
        <v>413</v>
      </c>
      <c r="F71" s="96">
        <v>34</v>
      </c>
      <c r="G71" s="89">
        <v>5</v>
      </c>
      <c r="H71" s="89">
        <v>4</v>
      </c>
      <c r="I71" s="90">
        <v>5</v>
      </c>
      <c r="J71" s="90">
        <v>3</v>
      </c>
      <c r="K71" s="89">
        <v>215</v>
      </c>
      <c r="L71" s="89">
        <v>130</v>
      </c>
      <c r="O71" s="249"/>
    </row>
    <row r="72" spans="2:15">
      <c r="B72" s="11" t="s">
        <v>386</v>
      </c>
      <c r="C72" s="89">
        <v>23791</v>
      </c>
      <c r="D72" s="89">
        <v>273</v>
      </c>
      <c r="E72" s="89">
        <v>220</v>
      </c>
      <c r="F72" s="96">
        <v>10</v>
      </c>
      <c r="G72" s="89" t="s">
        <v>284</v>
      </c>
      <c r="H72" s="89" t="s">
        <v>284</v>
      </c>
      <c r="I72" s="90" t="s">
        <v>284</v>
      </c>
      <c r="J72" s="90" t="s">
        <v>284</v>
      </c>
      <c r="K72" s="89">
        <v>158</v>
      </c>
      <c r="L72" s="89">
        <v>76</v>
      </c>
      <c r="O72" s="249"/>
    </row>
    <row r="73" spans="2:15">
      <c r="B73" s="11"/>
      <c r="C73" s="89"/>
      <c r="D73" s="89"/>
      <c r="E73" s="89"/>
      <c r="F73" s="96"/>
      <c r="G73" s="89"/>
      <c r="H73" s="89"/>
      <c r="I73" s="90"/>
      <c r="J73" s="90"/>
      <c r="K73" s="89"/>
      <c r="L73" s="89"/>
      <c r="O73" s="249"/>
    </row>
    <row r="74" spans="2:15">
      <c r="B74" s="11" t="s">
        <v>387</v>
      </c>
      <c r="C74" s="89">
        <v>83919</v>
      </c>
      <c r="D74" s="89">
        <v>715</v>
      </c>
      <c r="E74" s="89">
        <v>835</v>
      </c>
      <c r="F74" s="96">
        <v>60</v>
      </c>
      <c r="G74" s="89">
        <v>7</v>
      </c>
      <c r="H74" s="89">
        <v>4</v>
      </c>
      <c r="I74" s="90">
        <v>8</v>
      </c>
      <c r="J74" s="90">
        <v>4</v>
      </c>
      <c r="K74" s="89">
        <v>545</v>
      </c>
      <c r="L74" s="89">
        <v>333</v>
      </c>
      <c r="O74" s="249"/>
    </row>
    <row r="75" spans="2:15">
      <c r="B75" s="11" t="s">
        <v>388</v>
      </c>
      <c r="C75" s="89">
        <v>15051</v>
      </c>
      <c r="D75" s="89">
        <v>164</v>
      </c>
      <c r="E75" s="89">
        <v>162</v>
      </c>
      <c r="F75" s="96">
        <v>9</v>
      </c>
      <c r="G75" s="89" t="s">
        <v>284</v>
      </c>
      <c r="H75" s="89" t="s">
        <v>284</v>
      </c>
      <c r="I75" s="90" t="s">
        <v>284</v>
      </c>
      <c r="J75" s="90" t="s">
        <v>284</v>
      </c>
      <c r="K75" s="89">
        <v>98</v>
      </c>
      <c r="L75" s="89">
        <v>54</v>
      </c>
      <c r="O75" s="249"/>
    </row>
    <row r="76" spans="2:15">
      <c r="B76" s="11" t="s">
        <v>389</v>
      </c>
      <c r="C76" s="89">
        <v>150376</v>
      </c>
      <c r="D76" s="89">
        <v>1426</v>
      </c>
      <c r="E76" s="89">
        <v>1520</v>
      </c>
      <c r="F76" s="96">
        <v>106</v>
      </c>
      <c r="G76" s="89">
        <v>15</v>
      </c>
      <c r="H76" s="89">
        <v>10</v>
      </c>
      <c r="I76" s="90">
        <v>13</v>
      </c>
      <c r="J76" s="90">
        <v>4</v>
      </c>
      <c r="K76" s="89">
        <v>678</v>
      </c>
      <c r="L76" s="89">
        <v>635</v>
      </c>
      <c r="O76" s="249"/>
    </row>
    <row r="77" spans="2:15">
      <c r="B77" s="11" t="s">
        <v>390</v>
      </c>
      <c r="C77" s="89">
        <v>63105</v>
      </c>
      <c r="D77" s="89">
        <v>617</v>
      </c>
      <c r="E77" s="89">
        <v>755</v>
      </c>
      <c r="F77" s="96">
        <v>43</v>
      </c>
      <c r="G77" s="89">
        <v>5</v>
      </c>
      <c r="H77" s="89">
        <v>4</v>
      </c>
      <c r="I77" s="90">
        <v>7</v>
      </c>
      <c r="J77" s="90">
        <v>4</v>
      </c>
      <c r="K77" s="89">
        <v>397</v>
      </c>
      <c r="L77" s="89">
        <v>301</v>
      </c>
      <c r="O77" s="249"/>
    </row>
    <row r="78" spans="2:15">
      <c r="B78" s="11" t="s">
        <v>391</v>
      </c>
      <c r="C78" s="89">
        <v>9350</v>
      </c>
      <c r="D78" s="89">
        <v>192</v>
      </c>
      <c r="E78" s="89">
        <v>58</v>
      </c>
      <c r="F78" s="96">
        <v>3</v>
      </c>
      <c r="G78" s="89" t="s">
        <v>284</v>
      </c>
      <c r="H78" s="89" t="s">
        <v>284</v>
      </c>
      <c r="I78" s="90">
        <v>1</v>
      </c>
      <c r="J78" s="90">
        <v>1</v>
      </c>
      <c r="K78" s="89">
        <v>35</v>
      </c>
      <c r="L78" s="89">
        <v>37</v>
      </c>
      <c r="O78" s="249"/>
    </row>
    <row r="79" spans="2:15">
      <c r="B79" s="11"/>
      <c r="C79" s="89"/>
      <c r="D79" s="89"/>
      <c r="E79" s="89"/>
      <c r="F79" s="96"/>
      <c r="G79" s="89"/>
      <c r="H79" s="89"/>
      <c r="I79" s="90"/>
      <c r="J79" s="90"/>
      <c r="K79" s="89"/>
      <c r="L79" s="89"/>
      <c r="O79" s="249"/>
    </row>
    <row r="80" spans="2:15">
      <c r="B80" s="11" t="s">
        <v>392</v>
      </c>
      <c r="C80" s="89">
        <v>171008</v>
      </c>
      <c r="D80" s="89">
        <v>1702</v>
      </c>
      <c r="E80" s="89">
        <v>2132</v>
      </c>
      <c r="F80" s="96">
        <v>228</v>
      </c>
      <c r="G80" s="89">
        <v>19</v>
      </c>
      <c r="H80" s="89">
        <v>14</v>
      </c>
      <c r="I80" s="90">
        <v>26</v>
      </c>
      <c r="J80" s="90">
        <v>12</v>
      </c>
      <c r="K80" s="89">
        <v>1073</v>
      </c>
      <c r="L80" s="89">
        <v>752</v>
      </c>
      <c r="O80" s="249"/>
    </row>
    <row r="81" spans="2:15">
      <c r="B81" s="11" t="s">
        <v>393</v>
      </c>
      <c r="C81" s="89">
        <v>48001</v>
      </c>
      <c r="D81" s="89">
        <v>458</v>
      </c>
      <c r="E81" s="89">
        <v>535</v>
      </c>
      <c r="F81" s="96">
        <v>43</v>
      </c>
      <c r="G81" s="89">
        <v>3</v>
      </c>
      <c r="H81" s="89">
        <v>2</v>
      </c>
      <c r="I81" s="90">
        <v>2</v>
      </c>
      <c r="J81" s="90" t="s">
        <v>284</v>
      </c>
      <c r="K81" s="89">
        <v>275</v>
      </c>
      <c r="L81" s="89">
        <v>211</v>
      </c>
      <c r="O81" s="249"/>
    </row>
    <row r="82" spans="2:15">
      <c r="B82" s="11" t="s">
        <v>394</v>
      </c>
      <c r="C82" s="89">
        <v>1231640</v>
      </c>
      <c r="D82" s="89">
        <v>9898</v>
      </c>
      <c r="E82" s="89">
        <v>13501</v>
      </c>
      <c r="F82" s="96">
        <v>1092</v>
      </c>
      <c r="G82" s="89">
        <v>90</v>
      </c>
      <c r="H82" s="89">
        <v>69</v>
      </c>
      <c r="I82" s="90">
        <v>106</v>
      </c>
      <c r="J82" s="90">
        <v>53</v>
      </c>
      <c r="K82" s="89">
        <v>6888</v>
      </c>
      <c r="L82" s="89">
        <v>3749</v>
      </c>
      <c r="O82" s="249"/>
    </row>
    <row r="83" spans="2:15">
      <c r="B83" s="11" t="s">
        <v>395</v>
      </c>
      <c r="C83" s="89">
        <v>26245</v>
      </c>
      <c r="D83" s="89">
        <v>260</v>
      </c>
      <c r="E83" s="89">
        <v>274</v>
      </c>
      <c r="F83" s="96">
        <v>27</v>
      </c>
      <c r="G83" s="89">
        <v>1</v>
      </c>
      <c r="H83" s="89">
        <v>1</v>
      </c>
      <c r="I83" s="90">
        <v>1</v>
      </c>
      <c r="J83" s="90" t="s">
        <v>284</v>
      </c>
      <c r="K83" s="89">
        <v>188</v>
      </c>
      <c r="L83" s="89">
        <v>87</v>
      </c>
      <c r="O83" s="249"/>
    </row>
    <row r="84" spans="2:15">
      <c r="B84" s="11" t="s">
        <v>396</v>
      </c>
      <c r="C84" s="89">
        <v>21234</v>
      </c>
      <c r="D84" s="89">
        <v>327</v>
      </c>
      <c r="E84" s="89">
        <v>176</v>
      </c>
      <c r="F84" s="96">
        <v>6</v>
      </c>
      <c r="G84" s="89" t="s">
        <v>284</v>
      </c>
      <c r="H84" s="89" t="s">
        <v>284</v>
      </c>
      <c r="I84" s="90" t="s">
        <v>284</v>
      </c>
      <c r="J84" s="90" t="s">
        <v>284</v>
      </c>
      <c r="K84" s="89">
        <v>142</v>
      </c>
      <c r="L84" s="89">
        <v>66</v>
      </c>
      <c r="O84" s="249"/>
    </row>
    <row r="85" spans="2:15">
      <c r="B85" s="11"/>
      <c r="C85" s="89"/>
      <c r="D85" s="89"/>
      <c r="E85" s="89"/>
      <c r="F85" s="96"/>
      <c r="G85" s="89"/>
      <c r="H85" s="89"/>
      <c r="I85" s="90"/>
      <c r="J85" s="90"/>
      <c r="K85" s="89"/>
      <c r="L85" s="89"/>
      <c r="O85" s="249"/>
    </row>
    <row r="86" spans="2:15">
      <c r="B86" s="11" t="s">
        <v>397</v>
      </c>
      <c r="C86" s="89">
        <v>6322</v>
      </c>
      <c r="D86" s="89">
        <v>88</v>
      </c>
      <c r="E86" s="89">
        <v>28</v>
      </c>
      <c r="F86" s="208">
        <v>1</v>
      </c>
      <c r="G86" s="90">
        <v>1</v>
      </c>
      <c r="H86" s="90">
        <v>1</v>
      </c>
      <c r="I86" s="90" t="s">
        <v>284</v>
      </c>
      <c r="J86" s="90" t="s">
        <v>284</v>
      </c>
      <c r="K86" s="89">
        <v>26</v>
      </c>
      <c r="L86" s="89">
        <v>12</v>
      </c>
      <c r="O86" s="249"/>
    </row>
    <row r="87" spans="2:15">
      <c r="B87" s="11" t="s">
        <v>398</v>
      </c>
      <c r="C87" s="89">
        <v>23259</v>
      </c>
      <c r="D87" s="89">
        <v>225</v>
      </c>
      <c r="E87" s="89">
        <v>261</v>
      </c>
      <c r="F87" s="96">
        <v>22</v>
      </c>
      <c r="G87" s="90">
        <v>1</v>
      </c>
      <c r="H87" s="90">
        <v>1</v>
      </c>
      <c r="I87" s="90">
        <v>2</v>
      </c>
      <c r="J87" s="90">
        <v>1</v>
      </c>
      <c r="K87" s="89">
        <v>164</v>
      </c>
      <c r="L87" s="89">
        <v>107</v>
      </c>
      <c r="O87" s="249"/>
    </row>
    <row r="88" spans="2:15">
      <c r="B88" s="11" t="s">
        <v>399</v>
      </c>
      <c r="C88" s="89">
        <v>8379</v>
      </c>
      <c r="D88" s="89">
        <v>120</v>
      </c>
      <c r="E88" s="89">
        <v>66</v>
      </c>
      <c r="F88" s="96">
        <v>7</v>
      </c>
      <c r="G88" s="89" t="s">
        <v>284</v>
      </c>
      <c r="H88" s="89" t="s">
        <v>284</v>
      </c>
      <c r="I88" s="90" t="s">
        <v>284</v>
      </c>
      <c r="J88" s="90" t="s">
        <v>284</v>
      </c>
      <c r="K88" s="89">
        <v>47</v>
      </c>
      <c r="L88" s="89">
        <v>24</v>
      </c>
      <c r="O88" s="249"/>
    </row>
    <row r="89" spans="2:15">
      <c r="B89" s="11" t="s">
        <v>400</v>
      </c>
      <c r="C89" s="89">
        <v>24129</v>
      </c>
      <c r="D89" s="89">
        <v>265</v>
      </c>
      <c r="E89" s="89">
        <v>229</v>
      </c>
      <c r="F89" s="96">
        <v>19</v>
      </c>
      <c r="G89" s="89">
        <v>3</v>
      </c>
      <c r="H89" s="89" t="s">
        <v>284</v>
      </c>
      <c r="I89" s="90" t="s">
        <v>284</v>
      </c>
      <c r="J89" s="90" t="s">
        <v>284</v>
      </c>
      <c r="K89" s="89">
        <v>165</v>
      </c>
      <c r="L89" s="89">
        <v>108</v>
      </c>
      <c r="O89" s="249"/>
    </row>
    <row r="90" spans="2:15">
      <c r="B90" s="11" t="s">
        <v>401</v>
      </c>
      <c r="C90" s="89">
        <v>272701</v>
      </c>
      <c r="D90" s="89">
        <v>1767</v>
      </c>
      <c r="E90" s="89">
        <v>3377</v>
      </c>
      <c r="F90" s="96">
        <v>243</v>
      </c>
      <c r="G90" s="89">
        <v>26</v>
      </c>
      <c r="H90" s="89">
        <v>20</v>
      </c>
      <c r="I90" s="90">
        <v>28</v>
      </c>
      <c r="J90" s="90">
        <v>11</v>
      </c>
      <c r="K90" s="89">
        <v>1810</v>
      </c>
      <c r="L90" s="89">
        <v>913</v>
      </c>
      <c r="O90" s="249"/>
    </row>
    <row r="91" spans="2:15">
      <c r="B91" s="11"/>
      <c r="C91" s="89"/>
      <c r="D91" s="89"/>
      <c r="E91" s="89"/>
      <c r="F91" s="96"/>
      <c r="G91" s="89"/>
      <c r="H91" s="89"/>
      <c r="I91" s="90"/>
      <c r="J91" s="90"/>
      <c r="K91" s="89"/>
      <c r="L91" s="89"/>
      <c r="O91" s="249"/>
    </row>
    <row r="92" spans="2:15">
      <c r="B92" s="11" t="s">
        <v>402</v>
      </c>
      <c r="C92" s="89">
        <v>13062</v>
      </c>
      <c r="D92" s="89">
        <v>177</v>
      </c>
      <c r="E92" s="89">
        <v>88</v>
      </c>
      <c r="F92" s="96">
        <v>3</v>
      </c>
      <c r="G92" s="89" t="s">
        <v>284</v>
      </c>
      <c r="H92" s="89" t="s">
        <v>284</v>
      </c>
      <c r="I92" s="90" t="s">
        <v>284</v>
      </c>
      <c r="J92" s="90" t="s">
        <v>284</v>
      </c>
      <c r="K92" s="89">
        <v>63</v>
      </c>
      <c r="L92" s="89">
        <v>33</v>
      </c>
      <c r="O92" s="249"/>
    </row>
    <row r="93" spans="2:15">
      <c r="B93" s="11" t="s">
        <v>403</v>
      </c>
      <c r="C93" s="89">
        <v>24014</v>
      </c>
      <c r="D93" s="89">
        <v>393</v>
      </c>
      <c r="E93" s="89">
        <v>171</v>
      </c>
      <c r="F93" s="96">
        <v>13</v>
      </c>
      <c r="G93" s="89" t="s">
        <v>284</v>
      </c>
      <c r="H93" s="89" t="s">
        <v>284</v>
      </c>
      <c r="I93" s="90" t="s">
        <v>284</v>
      </c>
      <c r="J93" s="90" t="s">
        <v>284</v>
      </c>
      <c r="K93" s="89">
        <v>112</v>
      </c>
      <c r="L93" s="89">
        <v>81</v>
      </c>
      <c r="O93" s="249"/>
    </row>
    <row r="94" spans="2:15">
      <c r="B94" s="11" t="s">
        <v>404</v>
      </c>
      <c r="C94" s="89">
        <v>196542</v>
      </c>
      <c r="D94" s="89">
        <v>1961</v>
      </c>
      <c r="E94" s="89">
        <v>2278</v>
      </c>
      <c r="F94" s="96">
        <v>207</v>
      </c>
      <c r="G94" s="89">
        <v>19</v>
      </c>
      <c r="H94" s="89">
        <v>13</v>
      </c>
      <c r="I94" s="90">
        <v>22</v>
      </c>
      <c r="J94" s="90">
        <v>11</v>
      </c>
      <c r="K94" s="89">
        <v>1077</v>
      </c>
      <c r="L94" s="89">
        <v>653</v>
      </c>
      <c r="O94" s="249"/>
    </row>
    <row r="95" spans="2:15">
      <c r="B95" s="11" t="s">
        <v>405</v>
      </c>
      <c r="C95" s="89">
        <v>160469</v>
      </c>
      <c r="D95" s="89">
        <v>1748</v>
      </c>
      <c r="E95" s="89">
        <v>1550</v>
      </c>
      <c r="F95" s="96">
        <v>112</v>
      </c>
      <c r="G95" s="89">
        <v>6</v>
      </c>
      <c r="H95" s="89">
        <v>2</v>
      </c>
      <c r="I95" s="90">
        <v>9</v>
      </c>
      <c r="J95" s="90">
        <v>7</v>
      </c>
      <c r="K95" s="89">
        <v>858</v>
      </c>
      <c r="L95" s="89">
        <v>554</v>
      </c>
      <c r="O95" s="249"/>
    </row>
    <row r="96" spans="2:15">
      <c r="B96" s="11" t="s">
        <v>406</v>
      </c>
      <c r="C96" s="89">
        <v>60964</v>
      </c>
      <c r="D96" s="89">
        <v>637</v>
      </c>
      <c r="E96" s="89">
        <v>860</v>
      </c>
      <c r="F96" s="96">
        <v>72</v>
      </c>
      <c r="G96" s="89">
        <v>7</v>
      </c>
      <c r="H96" s="89">
        <v>5</v>
      </c>
      <c r="I96" s="90">
        <v>8</v>
      </c>
      <c r="J96" s="90">
        <v>5</v>
      </c>
      <c r="K96" s="89">
        <v>450</v>
      </c>
      <c r="L96" s="89">
        <v>267</v>
      </c>
      <c r="O96" s="249"/>
    </row>
    <row r="97" spans="2:15">
      <c r="B97" s="11"/>
      <c r="C97" s="89"/>
      <c r="D97" s="89"/>
      <c r="E97" s="89"/>
      <c r="F97" s="96"/>
      <c r="G97" s="89"/>
      <c r="H97" s="89"/>
      <c r="I97" s="90"/>
      <c r="J97" s="90"/>
      <c r="K97" s="89"/>
      <c r="L97" s="89"/>
      <c r="O97" s="249"/>
    </row>
    <row r="98" spans="2:15">
      <c r="B98" s="11" t="s">
        <v>407</v>
      </c>
      <c r="C98" s="89">
        <v>41823</v>
      </c>
      <c r="D98" s="89">
        <v>490</v>
      </c>
      <c r="E98" s="89">
        <v>445</v>
      </c>
      <c r="F98" s="96">
        <v>35</v>
      </c>
      <c r="G98" s="89">
        <v>2</v>
      </c>
      <c r="H98" s="89">
        <v>1</v>
      </c>
      <c r="I98" s="90">
        <v>3</v>
      </c>
      <c r="J98" s="90">
        <v>3</v>
      </c>
      <c r="K98" s="89">
        <v>233</v>
      </c>
      <c r="L98" s="89">
        <v>142</v>
      </c>
      <c r="O98" s="249"/>
    </row>
    <row r="99" spans="2:15">
      <c r="B99" s="11" t="s">
        <v>408</v>
      </c>
      <c r="C99" s="89">
        <v>8247</v>
      </c>
      <c r="D99" s="89">
        <v>117</v>
      </c>
      <c r="E99" s="89">
        <v>66</v>
      </c>
      <c r="F99" s="96">
        <v>4</v>
      </c>
      <c r="G99" s="89" t="s">
        <v>284</v>
      </c>
      <c r="H99" s="89" t="s">
        <v>284</v>
      </c>
      <c r="I99" s="90" t="s">
        <v>284</v>
      </c>
      <c r="J99" s="90" t="s">
        <v>284</v>
      </c>
      <c r="K99" s="89">
        <v>44</v>
      </c>
      <c r="L99" s="89">
        <v>25</v>
      </c>
      <c r="O99" s="249"/>
    </row>
    <row r="100" spans="2:15">
      <c r="B100" s="11" t="s">
        <v>409</v>
      </c>
      <c r="C100" s="89">
        <v>68900</v>
      </c>
      <c r="D100" s="89">
        <v>748</v>
      </c>
      <c r="E100" s="89">
        <v>744</v>
      </c>
      <c r="F100" s="96">
        <v>51</v>
      </c>
      <c r="G100" s="89">
        <v>3</v>
      </c>
      <c r="H100" s="89">
        <v>2</v>
      </c>
      <c r="I100" s="90">
        <v>3</v>
      </c>
      <c r="J100" s="90">
        <v>1</v>
      </c>
      <c r="K100" s="89">
        <v>421</v>
      </c>
      <c r="L100" s="89">
        <v>243</v>
      </c>
      <c r="O100" s="249"/>
    </row>
    <row r="101" spans="2:15">
      <c r="B101" s="11" t="s">
        <v>410</v>
      </c>
      <c r="C101" s="89">
        <v>54263</v>
      </c>
      <c r="D101" s="89">
        <v>563</v>
      </c>
      <c r="E101" s="89">
        <v>549</v>
      </c>
      <c r="F101" s="96">
        <v>25</v>
      </c>
      <c r="G101" s="89">
        <v>2</v>
      </c>
      <c r="H101" s="89">
        <v>1</v>
      </c>
      <c r="I101" s="90">
        <v>4</v>
      </c>
      <c r="J101" s="90">
        <v>3</v>
      </c>
      <c r="K101" s="89">
        <v>326</v>
      </c>
      <c r="L101" s="89">
        <v>190</v>
      </c>
      <c r="O101" s="249"/>
    </row>
    <row r="102" spans="2:15">
      <c r="B102" s="11" t="s">
        <v>411</v>
      </c>
      <c r="C102" s="89">
        <v>75455</v>
      </c>
      <c r="D102" s="89">
        <v>741</v>
      </c>
      <c r="E102" s="89">
        <v>906</v>
      </c>
      <c r="F102" s="96">
        <v>68</v>
      </c>
      <c r="G102" s="89">
        <v>6</v>
      </c>
      <c r="H102" s="89">
        <v>4</v>
      </c>
      <c r="I102" s="90">
        <v>5</v>
      </c>
      <c r="J102" s="90">
        <v>1</v>
      </c>
      <c r="K102" s="89">
        <v>496</v>
      </c>
      <c r="L102" s="89">
        <v>281</v>
      </c>
      <c r="O102" s="249"/>
    </row>
    <row r="103" spans="2:15">
      <c r="B103" s="11"/>
      <c r="C103" s="89"/>
      <c r="D103" s="89"/>
      <c r="E103" s="89"/>
      <c r="F103" s="96"/>
      <c r="G103" s="89"/>
      <c r="H103" s="89"/>
      <c r="I103" s="90"/>
      <c r="J103" s="90"/>
      <c r="K103" s="89"/>
      <c r="L103" s="89"/>
      <c r="O103" s="249"/>
    </row>
    <row r="104" spans="2:15">
      <c r="B104" s="11" t="s">
        <v>412</v>
      </c>
      <c r="C104" s="89">
        <v>354240</v>
      </c>
      <c r="D104" s="89">
        <v>2164</v>
      </c>
      <c r="E104" s="89">
        <v>3662</v>
      </c>
      <c r="F104" s="96">
        <v>254</v>
      </c>
      <c r="G104" s="89">
        <v>18</v>
      </c>
      <c r="H104" s="89">
        <v>12</v>
      </c>
      <c r="I104" s="90">
        <v>25</v>
      </c>
      <c r="J104" s="90">
        <v>16</v>
      </c>
      <c r="K104" s="89">
        <v>1891</v>
      </c>
      <c r="L104" s="89">
        <v>1023</v>
      </c>
      <c r="O104" s="249"/>
    </row>
    <row r="105" spans="2:15">
      <c r="B105" s="11" t="s">
        <v>413</v>
      </c>
      <c r="C105" s="89">
        <v>1775273</v>
      </c>
      <c r="D105" s="89">
        <v>17984</v>
      </c>
      <c r="E105" s="89">
        <v>23608</v>
      </c>
      <c r="F105" s="96">
        <v>2388</v>
      </c>
      <c r="G105" s="89">
        <v>217</v>
      </c>
      <c r="H105" s="89">
        <v>147</v>
      </c>
      <c r="I105" s="90">
        <v>253</v>
      </c>
      <c r="J105" s="90">
        <v>137</v>
      </c>
      <c r="K105" s="89">
        <v>7038</v>
      </c>
      <c r="L105" s="89">
        <v>4072</v>
      </c>
      <c r="O105" s="249"/>
    </row>
    <row r="106" spans="2:15">
      <c r="B106" s="11" t="s">
        <v>414</v>
      </c>
      <c r="C106" s="89">
        <v>32645</v>
      </c>
      <c r="D106" s="89">
        <v>375</v>
      </c>
      <c r="E106" s="89">
        <v>431</v>
      </c>
      <c r="F106" s="96">
        <v>23</v>
      </c>
      <c r="G106" s="89">
        <v>3</v>
      </c>
      <c r="H106" s="89">
        <v>3</v>
      </c>
      <c r="I106" s="90">
        <v>1</v>
      </c>
      <c r="J106" s="90">
        <v>1</v>
      </c>
      <c r="K106" s="89">
        <v>222</v>
      </c>
      <c r="L106" s="89">
        <v>156</v>
      </c>
      <c r="O106" s="249"/>
    </row>
    <row r="107" spans="2:15">
      <c r="B107" s="11"/>
      <c r="C107" s="89"/>
      <c r="D107" s="89"/>
      <c r="E107" s="89"/>
      <c r="F107" s="96"/>
      <c r="G107" s="89"/>
      <c r="H107" s="89"/>
      <c r="I107" s="89"/>
      <c r="J107" s="89"/>
      <c r="K107" s="89"/>
      <c r="L107" s="89"/>
    </row>
    <row r="108" spans="2:15" ht="44.25" customHeight="1">
      <c r="B108" s="313" t="s">
        <v>609</v>
      </c>
      <c r="C108" s="299"/>
      <c r="D108" s="299"/>
      <c r="E108" s="299"/>
      <c r="F108" s="299"/>
      <c r="G108" s="299"/>
      <c r="H108" s="299"/>
      <c r="I108" s="299"/>
      <c r="J108" s="299"/>
      <c r="K108" s="299"/>
      <c r="L108" s="299"/>
    </row>
    <row r="109" spans="2:15">
      <c r="F109" s="94"/>
    </row>
    <row r="110" spans="2:15">
      <c r="F110" s="94"/>
    </row>
    <row r="111" spans="2:15">
      <c r="F111" s="94"/>
    </row>
    <row r="112" spans="2:15">
      <c r="F112" s="94"/>
    </row>
    <row r="113" spans="6:6">
      <c r="F113" s="94"/>
    </row>
    <row r="114" spans="6:6">
      <c r="F114" s="94"/>
    </row>
    <row r="115" spans="6:6">
      <c r="F115" s="94"/>
    </row>
    <row r="116" spans="6:6">
      <c r="F116" s="94"/>
    </row>
    <row r="117" spans="6:6">
      <c r="F117" s="94"/>
    </row>
    <row r="118" spans="6:6">
      <c r="F118" s="94"/>
    </row>
    <row r="119" spans="6:6">
      <c r="F119" s="94"/>
    </row>
    <row r="120" spans="6:6">
      <c r="F120" s="94"/>
    </row>
    <row r="121" spans="6:6">
      <c r="F121" s="94"/>
    </row>
    <row r="122" spans="6:6">
      <c r="F122" s="94"/>
    </row>
    <row r="123" spans="6:6">
      <c r="F123" s="94"/>
    </row>
    <row r="124" spans="6:6">
      <c r="F124" s="94"/>
    </row>
    <row r="125" spans="6:6">
      <c r="F125" s="94"/>
    </row>
    <row r="126" spans="6:6">
      <c r="F126" s="94"/>
    </row>
    <row r="127" spans="6:6">
      <c r="F127" s="94"/>
    </row>
    <row r="128" spans="6:6">
      <c r="F128" s="94"/>
    </row>
    <row r="129" spans="6:6">
      <c r="F129" s="94"/>
    </row>
    <row r="130" spans="6:6">
      <c r="F130" s="94"/>
    </row>
    <row r="131" spans="6:6">
      <c r="F131" s="94"/>
    </row>
    <row r="132" spans="6:6">
      <c r="F132" s="94"/>
    </row>
    <row r="133" spans="6:6">
      <c r="F133" s="94"/>
    </row>
    <row r="134" spans="6:6">
      <c r="F134" s="94"/>
    </row>
    <row r="135" spans="6:6">
      <c r="F135" s="94"/>
    </row>
    <row r="136" spans="6:6">
      <c r="F136" s="94"/>
    </row>
    <row r="137" spans="6:6">
      <c r="F137" s="94"/>
    </row>
    <row r="138" spans="6:6">
      <c r="F138" s="94"/>
    </row>
    <row r="139" spans="6:6">
      <c r="F139" s="94"/>
    </row>
  </sheetData>
  <mergeCells count="2">
    <mergeCell ref="B4:L4"/>
    <mergeCell ref="B108:L108"/>
  </mergeCells>
  <phoneticPr fontId="10" type="noConversion"/>
  <pageMargins left="0.75" right="0.75" top="1" bottom="1" header="0.5" footer="0.5"/>
  <pageSetup scale="6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7</vt:i4>
      </vt:variant>
    </vt:vector>
  </HeadingPairs>
  <TitlesOfParts>
    <vt:vector size="52" baseType="lpstr">
      <vt:lpstr>Index</vt:lpstr>
      <vt:lpstr>Table 1</vt:lpstr>
      <vt:lpstr>Table 2</vt:lpstr>
      <vt:lpstr>Table 3</vt:lpstr>
      <vt:lpstr>Table 4</vt:lpstr>
      <vt:lpstr>Table 5</vt:lpstr>
      <vt:lpstr>Table 6</vt:lpstr>
      <vt:lpstr>Table 8</vt:lpstr>
      <vt:lpstr>Table 9</vt:lpstr>
      <vt:lpstr>Table 10</vt:lpstr>
      <vt:lpstr>Table 11</vt:lpstr>
      <vt:lpstr>Table 12</vt:lpstr>
      <vt:lpstr>Table 13</vt:lpstr>
      <vt:lpstr>Table 14</vt:lpstr>
      <vt:lpstr>Table18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MVA</vt:lpstr>
      <vt:lpstr>Alzheimers</vt:lpstr>
      <vt:lpstr>Septicemia</vt:lpstr>
      <vt:lpstr>Athero</vt:lpstr>
      <vt:lpstr>Table 41</vt:lpstr>
      <vt:lpstr>Table 42</vt:lpstr>
      <vt:lpstr>Table 43</vt:lpstr>
      <vt:lpstr>Table 44</vt:lpstr>
      <vt:lpstr>'Table 1'!Print_Area</vt:lpstr>
      <vt:lpstr>'Table 2'!Print_Area</vt:lpstr>
      <vt:lpstr>'Table 3'!Print_Area</vt:lpstr>
      <vt:lpstr>'Table 4'!Print_Area</vt:lpstr>
      <vt:lpstr>'Table 5'!Print_Area</vt:lpstr>
      <vt:lpstr>'Table 6'!Print_Area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osr</dc:creator>
  <cp:lastModifiedBy>Lindsey Myers</cp:lastModifiedBy>
  <cp:lastPrinted>2015-04-07T14:59:25Z</cp:lastPrinted>
  <dcterms:created xsi:type="dcterms:W3CDTF">1998-12-10T16:09:50Z</dcterms:created>
  <dcterms:modified xsi:type="dcterms:W3CDTF">2015-05-13T15:32:54Z</dcterms:modified>
</cp:coreProperties>
</file>